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chartsheets/sheet1.xml" ContentType="application/vnd.openxmlformats-officedocument.spreadsheetml.chartsheet+xml"/>
  <Override PartName="/xl/drawings/drawing3.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comments2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aPasta_de_trabalho"/>
  <bookViews>
    <workbookView showSheetTabs="0" xWindow="90" yWindow="30" windowWidth="9375" windowHeight="4710" tabRatio="929" firstSheet="1" activeTab="6"/>
  </bookViews>
  <sheets>
    <sheet name="COMANDOBLOQUEADO" sheetId="1" state="hidden" r:id="rId1"/>
    <sheet name="INICIAL" sheetId="2" r:id="rId2"/>
    <sheet name="LEIA" sheetId="3" r:id="rId3"/>
    <sheet name="CADASTROS" sheetId="4" r:id="rId4"/>
    <sheet name="LIMPA" sheetId="5" r:id="rId5"/>
    <sheet name="PROTOCOLO" sheetId="6" r:id="rId6"/>
    <sheet name="MENU" sheetId="7" r:id="rId7"/>
    <sheet name="RECEITAS" sheetId="8" r:id="rId8"/>
    <sheet name="ADICIONAIS" sheetId="9" r:id="rId9"/>
    <sheet name="ADMERFUND" sheetId="10" r:id="rId10"/>
    <sheet name="INJAESP" sheetId="11" r:id="rId11"/>
    <sheet name="FUNDEB" sheetId="12" r:id="rId12"/>
    <sheet name="GLOSAS" sheetId="13" r:id="rId13"/>
    <sheet name="Gráf1" sheetId="14" r:id="rId14"/>
    <sheet name="REPASSES" sheetId="15" r:id="rId15"/>
    <sheet name="SALDOS" sheetId="16" r:id="rId16"/>
    <sheet name="CONTAS" sheetId="17" r:id="rId17"/>
    <sheet name="FINANCEIRO" sheetId="18" r:id="rId18"/>
    <sheet name="CHECK" sheetId="19" r:id="rId19"/>
    <sheet name="LOGICA" sheetId="20" state="hidden" r:id="rId20"/>
    <sheet name="RESUMO" sheetId="21" r:id="rId21"/>
    <sheet name="PUBLICAÇÃO" sheetId="22" r:id="rId22"/>
    <sheet name="FUNDEF" sheetId="23" r:id="rId23"/>
  </sheets>
  <definedNames>
    <definedName name="_xlnm.Print_Area" localSheetId="8">'ADICIONAIS'!$A$1:$J$59</definedName>
    <definedName name="_xlnm.Print_Area" localSheetId="9">'ADMERFUND'!$A$1:$J$54</definedName>
    <definedName name="_xlnm.Print_Area" localSheetId="18">'CHECK'!$A$1:$M$44</definedName>
    <definedName name="_xlnm.Print_Area" localSheetId="16">'CONTAS'!$B$1:$K$64</definedName>
    <definedName name="_xlnm.Print_Area" localSheetId="17">'FINANCEIRO'!$B$1:$K$59</definedName>
    <definedName name="_xlnm.Print_Area" localSheetId="11">'FUNDEB'!$A$1:$J$60</definedName>
    <definedName name="_xlnm.Print_Area" localSheetId="22">'FUNDEF'!$A$1:$J$54</definedName>
    <definedName name="_xlnm.Print_Area" localSheetId="12">'GLOSAS'!$A$1:$J$52</definedName>
    <definedName name="_xlnm.Print_Area" localSheetId="1">'INICIAL'!$B$2:$S$23</definedName>
    <definedName name="_xlnm.Print_Area" localSheetId="10">'INJAESP'!$A$1:$J$58</definedName>
    <definedName name="_xlnm.Print_Area" localSheetId="2">'LEIA'!$A$1:$J$225</definedName>
    <definedName name="_xlnm.Print_Area" localSheetId="19">'LOGICA'!$AK$1:$AK$32</definedName>
    <definedName name="_xlnm.Print_Area" localSheetId="5">'PROTOCOLO'!$B$1:$L$52</definedName>
    <definedName name="_xlnm.Print_Area" localSheetId="21">'PUBLICAÇÃO'!$A$1:$M$36</definedName>
    <definedName name="_xlnm.Print_Area" localSheetId="7">'RECEITAS'!$A$1:$J$56</definedName>
    <definedName name="_xlnm.Print_Area" localSheetId="14">'REPASSES'!$A$1:$L$42</definedName>
    <definedName name="_xlnm.Print_Area" localSheetId="20">'RESUMO'!$A$1:$H$59</definedName>
    <definedName name="_xlnm.Print_Area" localSheetId="15">'SALDOS'!$A$1:$I$81</definedName>
  </definedNames>
  <calcPr fullCalcOnLoad="1"/>
</workbook>
</file>

<file path=xl/comments10.xml><?xml version="1.0" encoding="utf-8"?>
<comments xmlns="http://schemas.openxmlformats.org/spreadsheetml/2006/main">
  <authors>
    <author>msampei</author>
  </authors>
  <commentList>
    <comment ref="E8" authorId="0">
      <text>
        <r>
          <rPr>
            <sz val="8"/>
            <rFont val="Tahoma"/>
            <family val="2"/>
          </rPr>
          <t>ALERTA!
LANÇAR O VALOR DO EMPENHO ACUMULADO NO TRIMESTRE, NÃO O VALOR EMPENHADO NO TRIMESTRE.</t>
        </r>
      </text>
    </comment>
    <comment ref="F8" authorId="0">
      <text>
        <r>
          <rPr>
            <b/>
            <sz val="8"/>
            <rFont val="Tahoma"/>
            <family val="2"/>
          </rPr>
          <t>ALERTA!
LANÇAR O VALOR DO EMPENHO ACUMULADO NO TRIMESTRE, NÃO O VALOR EMPENHADO NO TRIMESTRE.</t>
        </r>
      </text>
    </comment>
    <comment ref="G8" authorId="0">
      <text>
        <r>
          <rPr>
            <b/>
            <sz val="8"/>
            <rFont val="Tahoma"/>
            <family val="2"/>
          </rPr>
          <t>ALERTA!
LANÇAR O VALOR DO EMPENHO ACUMULADO NO TRIMESTRE, NÃO O VALOR EMPENHADO NO TRIMESTRE.</t>
        </r>
        <r>
          <rPr>
            <sz val="8"/>
            <rFont val="Tahoma"/>
            <family val="2"/>
          </rPr>
          <t xml:space="preserve">
</t>
        </r>
      </text>
    </comment>
  </commentList>
</comments>
</file>

<file path=xl/comments11.xml><?xml version="1.0" encoding="utf-8"?>
<comments xmlns="http://schemas.openxmlformats.org/spreadsheetml/2006/main">
  <authors>
    <author>msampei</author>
  </authors>
  <commentList>
    <comment ref="E8" authorId="0">
      <text>
        <r>
          <rPr>
            <sz val="8"/>
            <rFont val="Tahoma"/>
            <family val="2"/>
          </rPr>
          <t>ALERTA!
LANÇAR O VALOR DO EMPENHO ACUMULADO NO TRIMESTRE, NÃO O VALOR EMPENHADO NO TRIMESTRE.</t>
        </r>
      </text>
    </comment>
    <comment ref="F8" authorId="0">
      <text>
        <r>
          <rPr>
            <b/>
            <sz val="8"/>
            <rFont val="Tahoma"/>
            <family val="2"/>
          </rPr>
          <t>ALERTA!
LANÇAR O VALOR DO EMPENHO ACUMULADO NO TRIMESTRE, NÃO O VALOR EMPENHADO NO TRIMESTRE.</t>
        </r>
      </text>
    </comment>
    <comment ref="G8" authorId="0">
      <text>
        <r>
          <rPr>
            <b/>
            <sz val="8"/>
            <rFont val="Tahoma"/>
            <family val="2"/>
          </rPr>
          <t>ALERTA!
LANÇAR O VALOR DO EMPENHO ACUMULADO NO TRIMESTRE, NÃO O VALOR EMPENHADO NO TRIMESTRE.</t>
        </r>
        <r>
          <rPr>
            <sz val="8"/>
            <rFont val="Tahoma"/>
            <family val="2"/>
          </rPr>
          <t xml:space="preserve">
</t>
        </r>
      </text>
    </comment>
  </commentList>
</comments>
</file>

<file path=xl/comments12.xml><?xml version="1.0" encoding="utf-8"?>
<comments xmlns="http://schemas.openxmlformats.org/spreadsheetml/2006/main">
  <authors>
    <author>msampei</author>
  </authors>
  <commentList>
    <comment ref="E7" authorId="0">
      <text>
        <r>
          <rPr>
            <sz val="8"/>
            <rFont val="Tahoma"/>
            <family val="2"/>
          </rPr>
          <t>ALERTA!
LANÇAR O VALOR DO EMPENHO ACUMULADO NO TRIMESTRE, NÃO O VALOR EMPENHADO NO TRIMESTRE.</t>
        </r>
      </text>
    </comment>
    <comment ref="F7" authorId="0">
      <text>
        <r>
          <rPr>
            <b/>
            <sz val="8"/>
            <rFont val="Tahoma"/>
            <family val="2"/>
          </rPr>
          <t>ALERTA!
LANÇAR O VALOR DO EMPENHO ACUMULADO NO TRIMESTRE, NÃO O VALOR EMPENHADO NO TRIMESTRE.</t>
        </r>
      </text>
    </comment>
    <comment ref="G7" authorId="0">
      <text>
        <r>
          <rPr>
            <b/>
            <sz val="8"/>
            <rFont val="Tahoma"/>
            <family val="2"/>
          </rPr>
          <t>ALERTA!
LANÇAR O VALOR DO EMPENHO ACUMULADO NO TRIMESTRE, NÃO O VALOR EMPENHADO NO TRIMESTRE.</t>
        </r>
        <r>
          <rPr>
            <sz val="8"/>
            <rFont val="Tahoma"/>
            <family val="2"/>
          </rPr>
          <t xml:space="preserve">
</t>
        </r>
      </text>
    </comment>
    <comment ref="C9" authorId="0">
      <text>
        <r>
          <rPr>
            <sz val="8"/>
            <rFont val="Tahoma"/>
            <family val="2"/>
          </rPr>
          <t xml:space="preserve">Profissionais do Magistério
</t>
        </r>
      </text>
    </comment>
  </commentList>
</comments>
</file>

<file path=xl/comments13.xml><?xml version="1.0" encoding="utf-8"?>
<comments xmlns="http://schemas.openxmlformats.org/spreadsheetml/2006/main">
  <authors>
    <author>msampei</author>
  </authors>
  <commentList>
    <comment ref="E8" authorId="0">
      <text>
        <r>
          <rPr>
            <sz val="8"/>
            <rFont val="Tahoma"/>
            <family val="2"/>
          </rPr>
          <t>ALERTA!
LANÇAR O VALOR DO EMPENHO ACUMULADO NO TRIMESTRE, NÃO O VALOR EMPENHADO NO TRIMESTRE.</t>
        </r>
      </text>
    </comment>
    <comment ref="F8" authorId="0">
      <text>
        <r>
          <rPr>
            <b/>
            <sz val="8"/>
            <rFont val="Tahoma"/>
            <family val="2"/>
          </rPr>
          <t>ALERTA!
LANÇAR O VALOR DO EMPENHO ACUMULADO NO TRIMESTRE, NÃO O VALOR EMPENHADO NO TRIMESTRE.</t>
        </r>
      </text>
    </comment>
    <comment ref="G8" authorId="0">
      <text>
        <r>
          <rPr>
            <b/>
            <sz val="8"/>
            <rFont val="Tahoma"/>
            <family val="2"/>
          </rPr>
          <t>ALERTA!
LANÇAR O VALOR DO EMPENHO ACUMULADO NO TRIMESTRE, NÃO O VALOR EMPENHADO NO TRIMESTRE.</t>
        </r>
        <r>
          <rPr>
            <sz val="8"/>
            <rFont val="Tahoma"/>
            <family val="2"/>
          </rPr>
          <t xml:space="preserve">
</t>
        </r>
      </text>
    </comment>
    <comment ref="E37" authorId="0">
      <text>
        <r>
          <rPr>
            <sz val="8"/>
            <rFont val="Tahoma"/>
            <family val="2"/>
          </rPr>
          <t>ALERTA!
LANÇAR O VALOR DO EMPENHO ACUMULADO NO TRIMESTRE, NÃO O VALOR EMPENHADO NO TRIMESTRE.</t>
        </r>
      </text>
    </comment>
    <comment ref="F37" authorId="0">
      <text>
        <r>
          <rPr>
            <b/>
            <sz val="8"/>
            <rFont val="Tahoma"/>
            <family val="2"/>
          </rPr>
          <t>ALERTA!
LANÇAR O VALOR DO EMPENHO ACUMULADO NO TRIMESTRE, NÃO O VALOR EMPENHADO NO TRIMESTRE.</t>
        </r>
      </text>
    </comment>
    <comment ref="G37" authorId="0">
      <text>
        <r>
          <rPr>
            <b/>
            <sz val="8"/>
            <rFont val="Tahoma"/>
            <family val="2"/>
          </rPr>
          <t>ALERTA!
LANÇAR O VALOR DO EMPENHO ACUMULADO NO TRIMESTRE, NÃO O VALOR EMPENHADO NO TRIMESTRE.</t>
        </r>
        <r>
          <rPr>
            <sz val="8"/>
            <rFont val="Tahoma"/>
            <family val="2"/>
          </rPr>
          <t xml:space="preserve">
</t>
        </r>
      </text>
    </comment>
    <comment ref="E46" authorId="0">
      <text>
        <r>
          <rPr>
            <sz val="8"/>
            <rFont val="Tahoma"/>
            <family val="2"/>
          </rPr>
          <t>ALERTA!
LANÇAR O VALOR DO EMPENHO ACUMULADO NO TRIMESTRE, NÃO O VALOR EMPENHADO NO TRIMESTRE.</t>
        </r>
      </text>
    </comment>
    <comment ref="F46" authorId="0">
      <text>
        <r>
          <rPr>
            <b/>
            <sz val="8"/>
            <rFont val="Tahoma"/>
            <family val="2"/>
          </rPr>
          <t>ALERTA!
LANÇAR O VALOR DO EMPENHO ACUMULADO NO TRIMESTRE, NÃO O VALOR EMPENHADO NO TRIMESTRE.</t>
        </r>
      </text>
    </comment>
    <comment ref="G46" authorId="0">
      <text>
        <r>
          <rPr>
            <b/>
            <sz val="8"/>
            <rFont val="Tahoma"/>
            <family val="2"/>
          </rPr>
          <t>ALERTA!
LANÇAR O VALOR DO EMPENHO ACUMULADO NO TRIMESTRE, NÃO O VALOR EMPENHADO NO TRIMESTRE.</t>
        </r>
        <r>
          <rPr>
            <sz val="8"/>
            <rFont val="Tahoma"/>
            <family val="2"/>
          </rPr>
          <t xml:space="preserve">
</t>
        </r>
      </text>
    </comment>
  </commentList>
</comments>
</file>

<file path=xl/comments23.xml><?xml version="1.0" encoding="utf-8"?>
<comments xmlns="http://schemas.openxmlformats.org/spreadsheetml/2006/main">
  <authors>
    <author>msampei</author>
  </authors>
  <commentList>
    <comment ref="E7" authorId="0">
      <text>
        <r>
          <rPr>
            <sz val="8"/>
            <rFont val="Tahoma"/>
            <family val="2"/>
          </rPr>
          <t>ALERTA!
LANÇAR O VALOR DO EMPENHO ACUMULADO NO TRIMESTRE, NÃO O VALOR EMPENHADO NO TRIMESTRE.</t>
        </r>
      </text>
    </comment>
    <comment ref="F7" authorId="0">
      <text>
        <r>
          <rPr>
            <b/>
            <sz val="8"/>
            <rFont val="Tahoma"/>
            <family val="2"/>
          </rPr>
          <t>ALERTA!
LANÇAR O VALOR DO EMPENHO ACUMULADO NO TRIMESTRE, NÃO O VALOR EMPENHADO NO TRIMESTRE.</t>
        </r>
      </text>
    </comment>
    <comment ref="G7" authorId="0">
      <text>
        <r>
          <rPr>
            <b/>
            <sz val="8"/>
            <rFont val="Tahoma"/>
            <family val="2"/>
          </rPr>
          <t>ALERTA!
LANÇAR O VALOR DO EMPENHO ACUMULADO NO TRIMESTRE, NÃO O VALOR EMPENHADO NO TRIMESTRE.</t>
        </r>
        <r>
          <rPr>
            <sz val="8"/>
            <rFont val="Tahoma"/>
            <family val="2"/>
          </rPr>
          <t xml:space="preserve">
</t>
        </r>
      </text>
    </comment>
    <comment ref="E35" authorId="0">
      <text>
        <r>
          <rPr>
            <sz val="8"/>
            <rFont val="Tahoma"/>
            <family val="2"/>
          </rPr>
          <t>ALERTA!
LANÇAR O VALOR DO EMPENHO ACUMULADO NO TRIMESTRE, NÃO O VALOR EMPENHADO NO TRIMESTRE.</t>
        </r>
      </text>
    </comment>
    <comment ref="F35" authorId="0">
      <text>
        <r>
          <rPr>
            <b/>
            <sz val="8"/>
            <rFont val="Tahoma"/>
            <family val="2"/>
          </rPr>
          <t>ALERTA!
LANÇAR O VALOR DO EMPENHO ACUMULADO NO TRIMESTRE, NÃO O VALOR EMPENHADO NO TRIMESTRE.</t>
        </r>
      </text>
    </comment>
    <comment ref="G35" authorId="0">
      <text>
        <r>
          <rPr>
            <b/>
            <sz val="8"/>
            <rFont val="Tahoma"/>
            <family val="2"/>
          </rPr>
          <t>ALERTA!
LANÇAR O VALOR DO EMPENHO ACUMULADO NO TRIMESTRE, NÃO O VALOR EMPENHADO NO TRIMESTRE.</t>
        </r>
        <r>
          <rPr>
            <sz val="8"/>
            <rFont val="Tahoma"/>
            <family val="2"/>
          </rPr>
          <t xml:space="preserve">
</t>
        </r>
      </text>
    </comment>
  </commentList>
</comments>
</file>

<file path=xl/sharedStrings.xml><?xml version="1.0" encoding="utf-8"?>
<sst xmlns="http://schemas.openxmlformats.org/spreadsheetml/2006/main" count="2272" uniqueCount="1276">
  <si>
    <t>Despesas Realizadas com Recursos de Aplicação Financeira do FUNDEB</t>
  </si>
  <si>
    <t>Despesas do Ensino Realizadas com Recursos Próprios</t>
  </si>
  <si>
    <t>Montante do repasse apurado com base no percentual de aplicação menos percentual de contribuição ao Fundeb (Quadro 03)</t>
  </si>
  <si>
    <t>Transferências Obrigatórias (1º Decêndio)</t>
  </si>
  <si>
    <t>DESPESAS DO FUNDEB ELEGÍVEIS NA APLICAÇÃO NO ENSINO</t>
  </si>
  <si>
    <t xml:space="preserve">Despesas Realizadas com Recursos do FUNDEB elegíveis no Ensino </t>
  </si>
  <si>
    <t>3.3.90</t>
  </si>
  <si>
    <t>4.4.90</t>
  </si>
  <si>
    <t>Despesas de Capital</t>
  </si>
  <si>
    <t>Outras Despesas Correntes</t>
  </si>
  <si>
    <t>3.1.90</t>
  </si>
  <si>
    <t>Despesas Correntes de Pessoal</t>
  </si>
  <si>
    <t>CONSTRUÇÃO DE ESCOLA</t>
  </si>
  <si>
    <t>DINHEIRO DIRETO NA ESCOLA</t>
  </si>
  <si>
    <t>TOTAL DAS DESPESAS C/ QSE, CONVÊNIOS E OUTROS</t>
  </si>
  <si>
    <t>PROTOCOLO DE ENTREGA POR MEIO MAGNÉTICO</t>
  </si>
  <si>
    <t xml:space="preserve">   Multa/Juros provenientes de impostos (fora do prazo e dívida ativa)</t>
  </si>
  <si>
    <t>TOTAL DA CONTA RETIFICADORA</t>
  </si>
  <si>
    <t xml:space="preserve">B) CONTA RETIFICADORA DA RECEITA  (CONTRIBUIÇÃO) </t>
  </si>
  <si>
    <t>C) RECURSOS DO FUNDEB (RETORNO)</t>
  </si>
  <si>
    <t xml:space="preserve">    Recursos Recebidos do Fundeb</t>
  </si>
  <si>
    <t>Despesas Pagas com Recursos do FUNDEF</t>
  </si>
  <si>
    <t>DESPESAS DA EDUCAÇÃO BÁSICA REALIZADAS COM SALDO DE RECURSOS DO FUNDEB</t>
  </si>
  <si>
    <t>ENS. FUND., INFANTIL, ESP. E EJA  (60%)</t>
  </si>
  <si>
    <t>ENS. FUND., INFANTIL, ESP. E EJA  (40%)</t>
  </si>
  <si>
    <t>Equipamentos e Material Permanente</t>
  </si>
  <si>
    <t>Relação de Contas Bancárias</t>
  </si>
  <si>
    <t>Fundeb/ Fundef Desp. Saldo Anterior</t>
  </si>
  <si>
    <t xml:space="preserve">               PLANILHA DE APLICAÇÃO NO ENSINO - VERSÃO 2007</t>
  </si>
  <si>
    <t xml:space="preserve">      Aplicação Mínima Conforme:</t>
  </si>
  <si>
    <t xml:space="preserve">                   Período:  </t>
  </si>
  <si>
    <t xml:space="preserve">      Exercício:</t>
  </si>
  <si>
    <t>2ºTRIMESTRE                          RECEITA ACUMULADA</t>
  </si>
  <si>
    <t>3ºTRIMESTRE                          RECEITA ACUMULADA</t>
  </si>
  <si>
    <t>Despesas Acumuladas Pagas com Rendimentos Financeiros</t>
  </si>
  <si>
    <t>4ºTRIMESTRE                          RECEITA ACUMULADA</t>
  </si>
  <si>
    <t xml:space="preserve">1ºTRIMESTRE                          </t>
  </si>
  <si>
    <t>2ºTRIMESTRE                          REDUTORA ACUMULADA</t>
  </si>
  <si>
    <t>3ºTRIMESTRE                          REDUTORA ACUMULADA</t>
  </si>
  <si>
    <t>4ºTRIMESTRE                          REDUTORA ACUMULADA</t>
  </si>
  <si>
    <t>2ºTRIMESTRE                          FUNDEB ACUMULADO</t>
  </si>
  <si>
    <t>3ºTRIMESTRE                          FUNDEB ACUMULADO</t>
  </si>
  <si>
    <t>4ºTRIMESTRE                          FUNDEB ACUMULADO</t>
  </si>
  <si>
    <t xml:space="preserve">                                                            Atestamos para efeito do cumprimento do artigo 212 da Constitução Federal que o disquete, em anexo, reproduz com total fidelidade e veracidade as informações nele contidas, conforme síntese a seguir:</t>
  </si>
  <si>
    <t xml:space="preserve"> DESCRIÇÃO (Quadro 07-Resumo Consolidado)</t>
  </si>
  <si>
    <t xml:space="preserve"> RECEITAS DO ENSINO</t>
  </si>
  <si>
    <t xml:space="preserve"> Receitas de Impostos e Transferências de Impostos</t>
  </si>
  <si>
    <t xml:space="preserve"> Demais Recursos Adicionais</t>
  </si>
  <si>
    <t xml:space="preserve"> DESPESAS DO ENSINO</t>
  </si>
  <si>
    <t xml:space="preserve">      Município:</t>
  </si>
  <si>
    <t>Ao clicar este COMANDO será apresentada uma tela, que contém comandos específicos destinados a informar os seguintes dados:</t>
  </si>
  <si>
    <t xml:space="preserve"> Demais Despesas (máx.40%)</t>
  </si>
  <si>
    <t xml:space="preserve">    _______________________________</t>
  </si>
  <si>
    <t>INSTITUIÇÃO BANCÁRIA</t>
  </si>
  <si>
    <t>SALDO BOLETIM</t>
  </si>
  <si>
    <t>DE CAIXA</t>
  </si>
  <si>
    <t>SALDO BANCÁRIO</t>
  </si>
  <si>
    <t>CONCILIADO</t>
  </si>
  <si>
    <t>CONTAS VINCULADAS AO ENSINO DECORRENTES DE CONVÊNIOS, QSE E OUTROS</t>
  </si>
  <si>
    <t xml:space="preserve"> TOTAL DO SALDO DISPONÍVEL</t>
  </si>
  <si>
    <t>ANÁLISE FINANCEIRA DAS CONTAS VINCULADAS AO ENSINO</t>
  </si>
  <si>
    <t xml:space="preserve">A) </t>
  </si>
  <si>
    <t xml:space="preserve">B) </t>
  </si>
  <si>
    <t>REPASSES DECENDIAIS</t>
  </si>
  <si>
    <t>A.1)</t>
  </si>
  <si>
    <t>A.2)</t>
  </si>
  <si>
    <t>Total de Repasses Decendiais</t>
  </si>
  <si>
    <t>QUADRO 06            MUNICÍPIO:</t>
  </si>
  <si>
    <t xml:space="preserve">Repasses relativos aos 1º, 2º e 3º decêndios do 1º mês </t>
  </si>
  <si>
    <t xml:space="preserve">Repasses relativos aos 1º, 2º e 3º decêndios do 2º mês </t>
  </si>
  <si>
    <t xml:space="preserve">Repasses relativos aos 1º, 2º e 3º decêndios do 3º mês </t>
  </si>
  <si>
    <t>B.1)</t>
  </si>
  <si>
    <t>(B.1-A.1)</t>
  </si>
  <si>
    <t xml:space="preserve">Despesas 12.122/ 12.361 </t>
  </si>
  <si>
    <t>PLUS DO FUNDEB APLICADO</t>
  </si>
  <si>
    <t>PLUS DO FUNDEB LIQUIDADO</t>
  </si>
  <si>
    <t>PLUS DO FUNDEB PAGO</t>
  </si>
  <si>
    <t>VALOR DA APLICAÇÃO MÍNIMA OBRIGATÓRIA COM RECURSOS NÃO VINCULADOS AO FUNDEB</t>
  </si>
  <si>
    <t>QUADRO 07                          MUNICÍPIO:</t>
  </si>
  <si>
    <t>CHECK 01</t>
  </si>
  <si>
    <t>CHECK 02</t>
  </si>
  <si>
    <t xml:space="preserve">CHECK 05 </t>
  </si>
  <si>
    <t>11)</t>
  </si>
  <si>
    <t>12)</t>
  </si>
  <si>
    <t>CHECK 06</t>
  </si>
  <si>
    <t>07</t>
  </si>
  <si>
    <t>Valor das despesas realizadas com recursos do FUNDEB (Quadro 02-C) maior que o efetivamente recebido?</t>
  </si>
  <si>
    <t>13)</t>
  </si>
  <si>
    <t>14)</t>
  </si>
  <si>
    <t>Não preenchimento do Quadro 2-D das despesas com recursos adicionais?</t>
  </si>
  <si>
    <t>Não preenchimento do Quadro 03 dos repasses decendias?</t>
  </si>
  <si>
    <t>CHECK 08</t>
  </si>
  <si>
    <t>15)</t>
  </si>
  <si>
    <t>Valor das despesas empenhadas com recursos adicionais é superior às despesas empenhadas nos Quadros 02-A e 02-B?</t>
  </si>
  <si>
    <t>Valor das despesas liquidadas com recursos adicionais é superior às despesas liquidadas nos Quadros 02-A e 02-B?</t>
  </si>
  <si>
    <t>CHECK 10</t>
  </si>
  <si>
    <t>Não preenchimento dos valores liquidados nos Quadros 02-A e 02-B?</t>
  </si>
  <si>
    <t>Não preenchimento dos valores pagos nos Quadros 02-A e 02-B?</t>
  </si>
  <si>
    <t>CHECK 14</t>
  </si>
  <si>
    <t>Valor de liquidação do FUNDEB (Quadro 02-C) maior que o empenhado?</t>
  </si>
  <si>
    <t>Valor pago com recursos do FUNDEB (Quadro 02-C) maior que o liquidado?</t>
  </si>
  <si>
    <t>Valor de liquidação com recursos adicionais (Quadro 02-D) maior que o empenhado?</t>
  </si>
  <si>
    <t>3.1.90.91</t>
  </si>
  <si>
    <t>Valor pago com recursos adicionais (Quadro 02-D) maior que o liquidado?</t>
  </si>
  <si>
    <t>CHECK 15</t>
  </si>
  <si>
    <t>DESPESAS DA ADMINISTRAÇÃO GERAL E DO ENSINO FUNDAMENTAL NÃO VINCULADAS AO FUNDEB</t>
  </si>
  <si>
    <t>TOTAL DESP. ADM. GERAL E ENSINO FUNDAMENTAL</t>
  </si>
  <si>
    <t>Despesas empenhadas com recursos adicionais (Quadro 2-D)</t>
  </si>
  <si>
    <t>(B.1-A.2)</t>
  </si>
  <si>
    <t xml:space="preserve">       TRIBUNAL DE CONTAS DO ESTADO DE SÃO PAULO  </t>
  </si>
  <si>
    <t>PÁGINA INICIAL</t>
  </si>
  <si>
    <t>I - Instruções para preenchimento</t>
  </si>
  <si>
    <t>QUADRO 03                   MUNICÍPIO:</t>
  </si>
  <si>
    <t>QUADRO 03                    MUNICÍPIO:</t>
  </si>
  <si>
    <t>A presente Pasta de Trabalho tem por objetivo o acompanhamento da aplicação dos recursos destinados à Manutenção e Desenvolvimento do Ensino e está constituída da seguinte forma:</t>
  </si>
  <si>
    <t>DEMONSTRATIVO DE SALDOS DAS CONTAS VINCULADAS À EDUCAÇÃO</t>
  </si>
  <si>
    <t>CONTA LDB (art. 69, § 5º da Lei 9394/96)</t>
  </si>
  <si>
    <t>DEMONSTRATIVO DAS CONTAS VINCULADAS AO ENSINO</t>
  </si>
  <si>
    <t xml:space="preserve"> SALDOS EM </t>
  </si>
  <si>
    <t>Este COMANDO permite limpar todas as informações lançadas, sendo recomendável a sua utilização somente no encerramento do exercício. Ao clicá-lo será apresentada uma tela para confirmação da certeza da continuidade de seu processamento.</t>
  </si>
  <si>
    <t>Repasses Decendiais - art. 69, § 5º, Lei Federal nº 9.394/96 - L.D.B.</t>
  </si>
  <si>
    <t>Resumo Consolidado</t>
  </si>
  <si>
    <t>Se o Município não estiver cadastrado, deverá ser incluído ao final da lista e, após, reclassificado, clicando em classificar.</t>
  </si>
  <si>
    <t>REPASSE MÍNIMO OBRIGATÓRIO (ART. 69, § 5º DA LEI 9.394/96 )</t>
  </si>
  <si>
    <t>ENS. FUNDAMENTAL - Prof. Magistério</t>
  </si>
  <si>
    <t>ENSINO FUNDAMENTAL - Demais Despesas</t>
  </si>
  <si>
    <t>EDUCAÇÃO INFANTIL - Prof. Magistério</t>
  </si>
  <si>
    <t>EDUCAÇÃO INFANTIL - Demais Despesas</t>
  </si>
  <si>
    <t>ED. ESPECIAL E EJA - Prof. Magistério</t>
  </si>
  <si>
    <t>ED. ESPECIAL E EJA - Demais Despesas</t>
  </si>
  <si>
    <t>IV) CONFRONTO ENTRE OS SALDOS APURADOS DAS CONTAS VINCULADAS EM RELAÇÃO AOS SALDOS BANCÁRIOS CONCILIADOS</t>
  </si>
  <si>
    <t>APURAÇÃO DOS EMPENHOS LIQUIDADOS A PAGAR (Não consideradas as despesas com recursos do Fundeb)</t>
  </si>
  <si>
    <t>III) CONFRONTO ENTRE DESPESA LIQUIDADA E FINANCEIRA EM RELAÇÃO AO DISPONÍVEL NA CONTA LDB</t>
  </si>
  <si>
    <t>QUADRO INDICATIVO DAS INCONSISTÊNCIAS</t>
  </si>
  <si>
    <t>03)</t>
  </si>
  <si>
    <t>04)</t>
  </si>
  <si>
    <t>05)</t>
  </si>
  <si>
    <t>06)</t>
  </si>
  <si>
    <t>08)</t>
  </si>
  <si>
    <t>09)</t>
  </si>
  <si>
    <t>10)</t>
  </si>
  <si>
    <t>SIM</t>
  </si>
  <si>
    <t>NÃO</t>
  </si>
  <si>
    <t>Valor liquidado maior que o empenhado no Quadro 02-A?</t>
  </si>
  <si>
    <t>Valor liquidado maior que o empenhado no Quadro 02-B?</t>
  </si>
  <si>
    <t>Valor pago maior que o liquidado no Quadro 02-A?</t>
  </si>
  <si>
    <t>Valor pago maior que o liquidado no Quadro 02-B?</t>
  </si>
  <si>
    <t xml:space="preserve">Neste comando o usuário encontrará informações gerais sobre como proceder ao correto preenchimento das planilhas, assim como acerca dos cuidados que deverão ser observados durante o lançamento dos dados para que o resultado apresentado esteja de acordo com o efetivamente realizado pelo jurisdicionado. </t>
  </si>
  <si>
    <t>I.</t>
  </si>
  <si>
    <t>II.</t>
  </si>
  <si>
    <t>III.</t>
  </si>
  <si>
    <t>IV.</t>
  </si>
  <si>
    <t>V.</t>
  </si>
  <si>
    <t>VI.</t>
  </si>
  <si>
    <t>Instruções para preenchimento</t>
  </si>
  <si>
    <t>1º TR</t>
  </si>
  <si>
    <t>2º TR</t>
  </si>
  <si>
    <t>3º TR</t>
  </si>
  <si>
    <t>4º TR</t>
  </si>
  <si>
    <t>DESPESAS RENDIMENTOS DE APLICAÇÃO FINANCEIRA DO FUNDEB EMPENHADO</t>
  </si>
  <si>
    <t>DESPESAS RENDIMENTOS DE APLICAÇÃO FINANCEIRA DO FUNDEB LIQUIDADO</t>
  </si>
  <si>
    <t>I) DESPESAS COM RECURSOS DO QSE CONVÊNIOS E OUTROS, INCLUSIVE SEUS RENDIMENTOS FINANCEIROS</t>
  </si>
  <si>
    <t>DESPESAS RENDIMENTOS DE APLICAÇÃO FINANCEIRA DO FUNDEB PAGO</t>
  </si>
  <si>
    <t>Cadastrar Municípios</t>
  </si>
  <si>
    <t>Limpar</t>
  </si>
  <si>
    <t>OPERACIONALIZAÇÃO DOS  QUADROS DEMONSTRATIVOS (TELA MENU)</t>
  </si>
  <si>
    <t>FUNDEF</t>
  </si>
  <si>
    <t>Receitas MDE e FUNDEB</t>
  </si>
  <si>
    <t>Recursos Adicionais</t>
  </si>
  <si>
    <t xml:space="preserve">Despesas 12.365/ 12.366/ 12.367 </t>
  </si>
  <si>
    <t xml:space="preserve">Despesas com Recursos do FUNDEB </t>
  </si>
  <si>
    <t>Despesas com Recursos Adicionais</t>
  </si>
  <si>
    <t>Repasses Financeiros</t>
  </si>
  <si>
    <t>Saldos Financeiros das Contas</t>
  </si>
  <si>
    <t>Análise Financeira das Contas</t>
  </si>
  <si>
    <t>Página Inicial</t>
  </si>
  <si>
    <t>Inconsistências</t>
  </si>
  <si>
    <t xml:space="preserve">                TRIBUNAL DE CONTAS DO ESTADO DE SÃO PAULO  </t>
  </si>
  <si>
    <t xml:space="preserve">                   Menu - Quadros Demonstrativos</t>
  </si>
  <si>
    <t xml:space="preserve">Preenchimento obrigatório de todos os campos. </t>
  </si>
  <si>
    <t>1º</t>
  </si>
  <si>
    <t>2º</t>
  </si>
  <si>
    <t>3º</t>
  </si>
  <si>
    <t>4º</t>
  </si>
  <si>
    <t>5º</t>
  </si>
  <si>
    <t>Nome do Município</t>
  </si>
  <si>
    <t>Período em exame</t>
  </si>
  <si>
    <t>Exercício em exame</t>
  </si>
  <si>
    <t>Dispositivo legal que estabelece o percentual de aplicação no ensino</t>
  </si>
  <si>
    <t>Além dos comandos supra citados esta Tela também permite o acesso aos seguintes Quadros:</t>
  </si>
  <si>
    <t>DEDUÇÕES</t>
  </si>
  <si>
    <t>REPASSES À CONTA DO ENSINO - ART.69,§5º,LEI 9.394/96</t>
  </si>
  <si>
    <t>R$</t>
  </si>
  <si>
    <t>TRANSFERÊNCIAS DO ESTADO</t>
  </si>
  <si>
    <t>MUNICÍPIO:</t>
  </si>
  <si>
    <t>TRANSFERÊNCIAS DA UNIÃO</t>
  </si>
  <si>
    <t xml:space="preserve">          - IPI</t>
  </si>
  <si>
    <t xml:space="preserve">          - ICMS</t>
  </si>
  <si>
    <t>I) CONFRONTO ENTRE OS REPASSES MÍNIMOS E DECENDIAIS ( B - A )</t>
  </si>
  <si>
    <t>Rendimentos de Aplicação Financeira - Conta LDB e Adicionais</t>
  </si>
  <si>
    <t>Despesas c/ Rendimentos de Aplicações - Conta LDB</t>
  </si>
  <si>
    <t>_______________________________________</t>
  </si>
  <si>
    <t xml:space="preserve">   Dívida Ativa de Impostos e Atualização da Dívida Ativa de Impostos</t>
  </si>
  <si>
    <t xml:space="preserve">   Imposto Territorial Rural - ITR (Art. 153, § 4º, III, CF - Redação EC nº42/03)</t>
  </si>
  <si>
    <t>__________________________________________</t>
  </si>
  <si>
    <t xml:space="preserve">     ___________________________________________</t>
  </si>
  <si>
    <t xml:space="preserve">      Prefeito(a) Municipal</t>
  </si>
  <si>
    <t>RECEITAS E DESPESAS DO ENSINO  -  PUBLICAÇÃO  (ARTIGO 256 DA CONSTITUIÇÃO ESTADUAL)</t>
  </si>
  <si>
    <t xml:space="preserve">            - Instruções para preenchimento</t>
  </si>
  <si>
    <t xml:space="preserve">            - Menu - Quadros Demonstrativos</t>
  </si>
  <si>
    <t xml:space="preserve">            - Quadro destinado à Publicação - art. 256 C.E.</t>
  </si>
  <si>
    <t>QUESE SALARIO</t>
  </si>
  <si>
    <t xml:space="preserve">            - Protocolo de Entrega por Meio Magnético</t>
  </si>
  <si>
    <t xml:space="preserve">            - Cadastrar Município</t>
  </si>
  <si>
    <t xml:space="preserve">            - Limpar</t>
  </si>
  <si>
    <t>DESPESAS FUNDEB EMPENHADO</t>
  </si>
  <si>
    <t>II) CONFRONTO ENTRE DESPESA ORÇAMENTÁRIA E FINANCEIRA EM RELAÇÃO AO DISPONÍVEL NA CONTA LDB</t>
  </si>
  <si>
    <t>APURAÇÃO DOS EMPENHOS A PAGAR (Não consideradas as despesas com recursos do Fundeb)</t>
  </si>
  <si>
    <t xml:space="preserve">CONTA LDB (ART. 69, § 5º DA LEI 9.394/96) </t>
  </si>
  <si>
    <t>Saldo Bancário Conciliado</t>
  </si>
  <si>
    <t>CONTAS VINCULADAS AO ENSINO</t>
  </si>
  <si>
    <t>DIFERENÇA</t>
  </si>
  <si>
    <t>CONTA FUNDEB</t>
  </si>
  <si>
    <t>SALDOS</t>
  </si>
  <si>
    <t>CONTAS VINCULADAS AO FUNDEB</t>
  </si>
  <si>
    <t>CONTAS VINCULADAS AO FUNDEF</t>
  </si>
  <si>
    <t>CONTA FUNDEF</t>
  </si>
  <si>
    <t xml:space="preserve">          - FPM</t>
  </si>
  <si>
    <t xml:space="preserve">          Total</t>
  </si>
  <si>
    <t xml:space="preserve">   Imposto Predial Territorial Urbano - IPTU</t>
  </si>
  <si>
    <t xml:space="preserve">   Fundo de Participação dos Municípios </t>
  </si>
  <si>
    <t xml:space="preserve">   Imposto de Renda Retido na Fonte</t>
  </si>
  <si>
    <t xml:space="preserve">   Imposto Territorial Rural</t>
  </si>
  <si>
    <t xml:space="preserve">   Imposto s/ Circ. de Mercadorias e Serviços</t>
  </si>
  <si>
    <t xml:space="preserve">   Imposto s/ Propriedade de Veículo Automotor</t>
  </si>
  <si>
    <t>APURAÇÃO DO RESULTADO DE CONTRIBUIÇÃO EM CONFRONTO À RECEITA DO FUNDEB</t>
  </si>
  <si>
    <t>FUNDEB - ART.60 CAPUT/ADCT/CF</t>
  </si>
  <si>
    <t>RECURSOS DO FUNDEB + APLICAÇÃO FINANCEIRA</t>
  </si>
  <si>
    <t>DESPESAS COM EDUCAÇÃO BÁSICA - FUNDEB</t>
  </si>
  <si>
    <t>F.1)</t>
  </si>
  <si>
    <t>F.2)</t>
  </si>
  <si>
    <t>DESPESAS NA  MANUTENÇÃO E DESENVOLVIMENTO DO ENSINO</t>
  </si>
  <si>
    <t>TOTAL DAS DESPESAS ELEGÍVEIS NA APLICAÇÃO DO ENSINO</t>
  </si>
  <si>
    <t>APLICAÇÃO FINAL (CAPUT, ART. 212 DA CF)</t>
  </si>
  <si>
    <t>Receitas de Transferências de Impostos da União</t>
  </si>
  <si>
    <t>Receitas de Transferências de Impostos do Estado</t>
  </si>
  <si>
    <t>Valor da Aplicação Mínima Obrigatória (Caput, art. 212 da CF)</t>
  </si>
  <si>
    <t>Total da Conta Retificadora da Receita do FPM, ICMS, IPI, LEI KANDIR, IPVA E ITR</t>
  </si>
  <si>
    <t>RECEITAS FUNDEB</t>
  </si>
  <si>
    <t>Total da Receita Recebida do FUNDEB (Valor do Retorno sem os Rendimentos de Aplicação Financeira)</t>
  </si>
  <si>
    <t>RECEBIDO</t>
  </si>
  <si>
    <t>Salário Educação, Convênios e Outros</t>
  </si>
  <si>
    <t>Operações de Crédito destinadas à Educação Básica</t>
  </si>
  <si>
    <t>12.122 - Despesas da Administração Geral da Educação Básica</t>
  </si>
  <si>
    <t>12.361 - Despesas do Ensino Fundamental</t>
  </si>
  <si>
    <t>12.365 - Despesas da Educação Infantil</t>
  </si>
  <si>
    <t>12.366 - Despesas da Educação de Jovens e Adultos</t>
  </si>
  <si>
    <t>12.367 - Despesas da Educação Especial</t>
  </si>
  <si>
    <t>Despesas com Rendimentos de Aplicação Financeira (CONTA LDB)</t>
  </si>
  <si>
    <t>DESPESAS COM RECURSOS DO FUNDEB</t>
  </si>
  <si>
    <t>DESPESAS COM RECURSOS DO FUNDEF</t>
  </si>
  <si>
    <t>Despesas com QSE, Convênios e Outros (inclusive rendimentos)</t>
  </si>
  <si>
    <t>Despesas c/ Prof. Magistério em Efetivo Exercício (Mínimo 60%)</t>
  </si>
  <si>
    <t>Aplicação dos Recursos do Fundeb Obrigatória no Exercício (Mínimo 95%)</t>
  </si>
  <si>
    <t>Valor Efetivamente Retido ao FUNDEB</t>
  </si>
  <si>
    <t>Parcela Empenhada do Ganho Líquido (Plus Aplicado)</t>
  </si>
  <si>
    <t xml:space="preserve">   Imposto s/ Produto Industrial s/ Exportação</t>
  </si>
  <si>
    <t>Trimestres</t>
  </si>
  <si>
    <t>PERÍODO:</t>
  </si>
  <si>
    <t>Exercícios</t>
  </si>
  <si>
    <t>*Transportar os valores obtidos nesta planilha para o Comparativo da Receita Orçada com a Arrecadada.</t>
  </si>
  <si>
    <t>ADOLFO</t>
  </si>
  <si>
    <t>ALTAIR</t>
  </si>
  <si>
    <t>ARIRANHA</t>
  </si>
  <si>
    <t>BÁLSAMO</t>
  </si>
  <si>
    <t>BARRETOS</t>
  </si>
  <si>
    <t>CAJOBI</t>
  </si>
  <si>
    <t>CARDOSO</t>
  </si>
  <si>
    <t>CATANDUVA</t>
  </si>
  <si>
    <t>CATIGUÁ</t>
  </si>
  <si>
    <t>CEDRAL</t>
  </si>
  <si>
    <t>COLÔMBIA</t>
  </si>
  <si>
    <t>COSMORAMA</t>
  </si>
  <si>
    <t>ELISIÁRIO</t>
  </si>
  <si>
    <t>EMBAÚBA</t>
  </si>
  <si>
    <t>GUAPIAÇU</t>
  </si>
  <si>
    <t>GUARACI</t>
  </si>
  <si>
    <t>IBIRÁ</t>
  </si>
  <si>
    <t>ICÉM</t>
  </si>
  <si>
    <t>IPIGUÁ</t>
  </si>
  <si>
    <t>IRAPUÃ</t>
  </si>
  <si>
    <t>ITAJOBI</t>
  </si>
  <si>
    <t>JACI</t>
  </si>
  <si>
    <t>MARAPOAMA</t>
  </si>
  <si>
    <t>1º TRIMESTRE</t>
  </si>
  <si>
    <t>2º TRIMESTRE</t>
  </si>
  <si>
    <t>3º TRIMESTRE</t>
  </si>
  <si>
    <t>4º TRIMESTRE</t>
  </si>
  <si>
    <t>TANABI</t>
  </si>
  <si>
    <t>MONTE AZUL PAULISTA</t>
  </si>
  <si>
    <t>NEVES PAULISTA</t>
  </si>
  <si>
    <t>ORINDIÚVA</t>
  </si>
  <si>
    <t>PALMARES PAULISTA</t>
  </si>
  <si>
    <t>PARAÍSO</t>
  </si>
  <si>
    <t>SEVERÍNIA</t>
  </si>
  <si>
    <t>TABAPUÃ</t>
  </si>
  <si>
    <t>UBARANA</t>
  </si>
  <si>
    <t>UNIÃO PAULISTA</t>
  </si>
  <si>
    <t>URUPÊS</t>
  </si>
  <si>
    <t>VOTUPORANGA</t>
  </si>
  <si>
    <t xml:space="preserve">   Imposto s/ Transmissão de Bens Imóveis </t>
  </si>
  <si>
    <t xml:space="preserve">   Imposto s/ Serviços de Qualquer Natureza</t>
  </si>
  <si>
    <t>MENDONÇA</t>
  </si>
  <si>
    <t>MIRASSOL</t>
  </si>
  <si>
    <t>MIRASSOLÂNDIA</t>
  </si>
  <si>
    <t>NIPOÃ</t>
  </si>
  <si>
    <t>ONDA VERDE</t>
  </si>
  <si>
    <t>PARISI</t>
  </si>
  <si>
    <t>PINDORAMA</t>
  </si>
  <si>
    <t>SANTA ADÉLIA</t>
  </si>
  <si>
    <t>NOVA ALIANÇA</t>
  </si>
  <si>
    <t>NOVA GRANADA</t>
  </si>
  <si>
    <t>OLÍMPIA</t>
  </si>
  <si>
    <t>POLONI</t>
  </si>
  <si>
    <t>PONTES GESTAL</t>
  </si>
  <si>
    <t>NOVAIS</t>
  </si>
  <si>
    <t>PALESTINA</t>
  </si>
  <si>
    <t>PAULO DE FARIA</t>
  </si>
  <si>
    <t>POTIRENDABA</t>
  </si>
  <si>
    <t>SALES</t>
  </si>
  <si>
    <t>ADAMANTINA</t>
  </si>
  <si>
    <t>AGUDOS</t>
  </si>
  <si>
    <t>ALFREDO MARCONDES</t>
  </si>
  <si>
    <t>ALVARES FLORENCE</t>
  </si>
  <si>
    <t>ALVARES MACHADO</t>
  </si>
  <si>
    <t>ALVARO DE CARVALHO</t>
  </si>
  <si>
    <t>ANDRADINA</t>
  </si>
  <si>
    <t>ANHEMBI</t>
  </si>
  <si>
    <t>ANHUMAS</t>
  </si>
  <si>
    <t>APARECIDA</t>
  </si>
  <si>
    <t>ARANDU</t>
  </si>
  <si>
    <t>ARARAQUARA</t>
  </si>
  <si>
    <t>DESPESAS REALIZADAS COM RECURSOS ADICIONAIS DEDUTÍVEIS DA APLICAÇÃO</t>
  </si>
  <si>
    <t>AREALVA</t>
  </si>
  <si>
    <t>AREIAS</t>
  </si>
  <si>
    <t>ASSIS</t>
  </si>
  <si>
    <t>ATIBAIA</t>
  </si>
  <si>
    <t>BADY BASSITT</t>
  </si>
  <si>
    <t>BALBINOS</t>
  </si>
  <si>
    <t>BANANAL</t>
  </si>
  <si>
    <t>BARIRI</t>
  </si>
  <si>
    <t>BARRA BONITA</t>
  </si>
  <si>
    <t>BASTOS</t>
  </si>
  <si>
    <t>BAURU</t>
  </si>
  <si>
    <t>BERNARDINO DE CAMPOS</t>
  </si>
  <si>
    <t>BERTIOGA</t>
  </si>
  <si>
    <t>BIRITIBA MIRIM</t>
  </si>
  <si>
    <t>BOA ESPERANÇA DO SUL</t>
  </si>
  <si>
    <t>BOFETE</t>
  </si>
  <si>
    <t>BOM JESUS DOS PERDÕES</t>
  </si>
  <si>
    <t>BORA</t>
  </si>
  <si>
    <t>BORBOREMA</t>
  </si>
  <si>
    <t>BOREBI</t>
  </si>
  <si>
    <t>BOTUCATU</t>
  </si>
  <si>
    <t>BROTAS</t>
  </si>
  <si>
    <t>CABRALIA PAULISTA</t>
  </si>
  <si>
    <t>CAÇAPAVA</t>
  </si>
  <si>
    <t>CACHOEIRA PAULISTA</t>
  </si>
  <si>
    <t>CAFELANDIA</t>
  </si>
  <si>
    <t>CAIABU</t>
  </si>
  <si>
    <t>CAIEIRAS</t>
  </si>
  <si>
    <t>CAIUA</t>
  </si>
  <si>
    <t>CAMPO LIMPO PAULISTA</t>
  </si>
  <si>
    <t>CAMPOS DO JORDÃO</t>
  </si>
  <si>
    <t>CAMPOS NOVOS PAULISTA</t>
  </si>
  <si>
    <t>CANAS</t>
  </si>
  <si>
    <t>CANITAR</t>
  </si>
  <si>
    <t>CARAGUATATUBA</t>
  </si>
  <si>
    <t>CARAPICUIBA</t>
  </si>
  <si>
    <t>CASTILHO</t>
  </si>
  <si>
    <t>CERQUEIRA CESAR</t>
  </si>
  <si>
    <t>CHARQUEADA</t>
  </si>
  <si>
    <t>CHAVANTES</t>
  </si>
  <si>
    <t>COLINA</t>
  </si>
  <si>
    <t>CONCHAS</t>
  </si>
  <si>
    <t>CORONEL MACEDO</t>
  </si>
  <si>
    <t>COTIA</t>
  </si>
  <si>
    <t>CRUZALIA</t>
  </si>
  <si>
    <t>CRUZEIRO</t>
  </si>
  <si>
    <t>CUBATÃO</t>
  </si>
  <si>
    <t>CUNHA</t>
  </si>
  <si>
    <t>DOURADO</t>
  </si>
  <si>
    <t>DRACENA</t>
  </si>
  <si>
    <t>DUARTINA</t>
  </si>
  <si>
    <t>ESTRELA DO NORTE</t>
  </si>
  <si>
    <t>EUCLIDES DA CUNHA PAULISTA</t>
  </si>
  <si>
    <t>FARTURA</t>
  </si>
  <si>
    <t>FERNÃO</t>
  </si>
  <si>
    <t>FLORA RICA</t>
  </si>
  <si>
    <t>FLORIDA PAULISTA</t>
  </si>
  <si>
    <t>FRANCO DA ROCHA</t>
  </si>
  <si>
    <t>GARÇA</t>
  </si>
  <si>
    <t>GAVIÃO PEIXOTO</t>
  </si>
  <si>
    <t>GETULINA</t>
  </si>
  <si>
    <t>GUAIÇARA</t>
  </si>
  <si>
    <t>GUARAÇAI</t>
  </si>
  <si>
    <t>GUARANTÃ</t>
  </si>
  <si>
    <t>GUARAREMA</t>
  </si>
  <si>
    <t>IACANGA</t>
  </si>
  <si>
    <t>IACRI</t>
  </si>
  <si>
    <t>IARAS</t>
  </si>
  <si>
    <t>IBIRAREMA</t>
  </si>
  <si>
    <t>IBITINGA</t>
  </si>
  <si>
    <t>DÍVIDA ATIVA ETC</t>
  </si>
  <si>
    <t>IPTU/ ITBI/ ISS/ IRRF/</t>
  </si>
  <si>
    <t>Depósito em conta até 20º dia</t>
  </si>
  <si>
    <t>Depósito em conta até 30º dia</t>
  </si>
  <si>
    <t>Depósito em conta até 10º dia do mês subs.</t>
  </si>
  <si>
    <t>ILHA BELA</t>
  </si>
  <si>
    <t>INDIANA</t>
  </si>
  <si>
    <t>IPAUSSU</t>
  </si>
  <si>
    <t>IRAPURU</t>
  </si>
  <si>
    <t>ITAJU</t>
  </si>
  <si>
    <t>ITAPORANGA</t>
  </si>
  <si>
    <t>ITAPURA</t>
  </si>
  <si>
    <t>ITAQUAQUECETUBA</t>
  </si>
  <si>
    <t>ITATINGA</t>
  </si>
  <si>
    <t>ITIRAPINA</t>
  </si>
  <si>
    <t>ITUPEVA</t>
  </si>
  <si>
    <t>JABORANDI</t>
  </si>
  <si>
    <t>JAMBEIRO</t>
  </si>
  <si>
    <t>JANDIRA</t>
  </si>
  <si>
    <t>JAU</t>
  </si>
  <si>
    <t>JOÃO RAMALHO</t>
  </si>
  <si>
    <t>JULIO MESQUITA</t>
  </si>
  <si>
    <t>JUQUITIBA</t>
  </si>
  <si>
    <t>LAGOINHA</t>
  </si>
  <si>
    <t>LARANJAL PAULISTA</t>
  </si>
  <si>
    <t>LAVRINHAS</t>
  </si>
  <si>
    <t>LENÇOIS PAULISTA</t>
  </si>
  <si>
    <t>LINS</t>
  </si>
  <si>
    <t>LORENA</t>
  </si>
  <si>
    <t>MACATUBA</t>
  </si>
  <si>
    <t>MANDURI</t>
  </si>
  <si>
    <t xml:space="preserve">_ _ _ _ _ _ _ _ _ _ _ _ _ _ _ _ _ _ _  </t>
  </si>
  <si>
    <r>
      <t xml:space="preserve">Se necessário inclua seu município no </t>
    </r>
    <r>
      <rPr>
        <b/>
        <i/>
        <sz val="10"/>
        <rFont val="Arial"/>
        <family val="2"/>
      </rPr>
      <t>FIM DA LISTA</t>
    </r>
    <r>
      <rPr>
        <i/>
        <sz val="10"/>
        <rFont val="Arial"/>
        <family val="2"/>
      </rPr>
      <t xml:space="preserve"> </t>
    </r>
    <r>
      <rPr>
        <i/>
        <sz val="9"/>
        <rFont val="Arial"/>
        <family val="2"/>
      </rPr>
      <t>e clique em</t>
    </r>
    <r>
      <rPr>
        <b/>
        <i/>
        <sz val="9"/>
        <rFont val="Arial"/>
        <family val="2"/>
      </rPr>
      <t xml:space="preserve"> classificar :</t>
    </r>
  </si>
  <si>
    <t>MINEIROS DO TIETE</t>
  </si>
  <si>
    <t>MIRANTE DO PARANAPANEMA</t>
  </si>
  <si>
    <t>MOGI DAS CRUZES</t>
  </si>
  <si>
    <t>MONTE APRAZIVEL</t>
  </si>
  <si>
    <t>MONTE CASTELO</t>
  </si>
  <si>
    <t>MONTEIRO LOBATO</t>
  </si>
  <si>
    <t>MOTUCA</t>
  </si>
  <si>
    <t>MURUTINGA DO SUL</t>
  </si>
  <si>
    <t>NANTES</t>
  </si>
  <si>
    <t>NARANDIBA</t>
  </si>
  <si>
    <t>NATIVIDADE DA SERRA</t>
  </si>
  <si>
    <t>NOVA EUROPA</t>
  </si>
  <si>
    <t>NOVA GUATAPORANGA</t>
  </si>
  <si>
    <t>NOVO HORIZONTE</t>
  </si>
  <si>
    <t>OCAUÇU</t>
  </si>
  <si>
    <t>OLEO</t>
  </si>
  <si>
    <t>ORIENTE</t>
  </si>
  <si>
    <t>OSCAR BRESSANE</t>
  </si>
  <si>
    <t>OSVALDO CRUZ</t>
  </si>
  <si>
    <t>OURINHOS</t>
  </si>
  <si>
    <t>OURO VERDE</t>
  </si>
  <si>
    <t>PACAEMBU</t>
  </si>
  <si>
    <t>PALMITAL</t>
  </si>
  <si>
    <t>PANORAMA</t>
  </si>
  <si>
    <t>PARAGUAÇU PAULISTA</t>
  </si>
  <si>
    <t>PARAIBUNA</t>
  </si>
  <si>
    <t>PARANAPANEMA</t>
  </si>
  <si>
    <t>PARDINHO</t>
  </si>
  <si>
    <t>PEDERNEIRAS</t>
  </si>
  <si>
    <t>PEDRINHAS PAULISTA</t>
  </si>
  <si>
    <t>PEREIRAS</t>
  </si>
  <si>
    <t>PINDAMONHANGABA</t>
  </si>
  <si>
    <t>PIQUEROBI</t>
  </si>
  <si>
    <t>PIQUETE</t>
  </si>
  <si>
    <t>PIRACAIA</t>
  </si>
  <si>
    <t>PIRAJU</t>
  </si>
  <si>
    <t>PIRANGI</t>
  </si>
  <si>
    <t>PIRAPOZINHO</t>
  </si>
  <si>
    <t>PIRATININGA</t>
  </si>
  <si>
    <t>PLANALTO</t>
  </si>
  <si>
    <t>4.4.90.51</t>
  </si>
  <si>
    <t>4.4.90.52</t>
  </si>
  <si>
    <t>PLATINA</t>
  </si>
  <si>
    <t>PORANGABA</t>
  </si>
  <si>
    <t>POTIM</t>
  </si>
  <si>
    <t>PRACINHA</t>
  </si>
  <si>
    <t>PRESIDENTE ALVES</t>
  </si>
  <si>
    <t>PRESIDENTE BERNARDES</t>
  </si>
  <si>
    <t>PRESIDENTE PRUDENTE</t>
  </si>
  <si>
    <t>PRESIDENTE VENCESLAU</t>
  </si>
  <si>
    <t>PROMISSÃO</t>
  </si>
  <si>
    <t>QUEIROZ</t>
  </si>
  <si>
    <t>QUELUZ</t>
  </si>
  <si>
    <t>QUINTANA</t>
  </si>
  <si>
    <t>RANCHARIA</t>
  </si>
  <si>
    <t>REDENÇÃO DA SERRA</t>
  </si>
  <si>
    <t>REGENTE FEIJÓ</t>
  </si>
  <si>
    <t>REGINOPOLIS</t>
  </si>
  <si>
    <t>RIBEIRÃO DO SUL</t>
  </si>
  <si>
    <t>RIBEIRÃO PIRES</t>
  </si>
  <si>
    <t>ROSANA</t>
  </si>
  <si>
    <t>ROSEIRA</t>
  </si>
  <si>
    <t>SABINO</t>
  </si>
  <si>
    <t>SAGRES</t>
  </si>
  <si>
    <t>SALMORÃO</t>
  </si>
  <si>
    <t>SALTO GRANDE</t>
  </si>
  <si>
    <t>SANDOVALINA</t>
  </si>
  <si>
    <t>SANTA BRANCA</t>
  </si>
  <si>
    <t>SANTA CRUZ DO RIO PARDO</t>
  </si>
  <si>
    <t>SANTA ISABEL</t>
  </si>
  <si>
    <t>SANTA MARIA DA SERRA</t>
  </si>
  <si>
    <t>SANTA MERCEDES</t>
  </si>
  <si>
    <t>SANTO ANTONIO DO PINHAL</t>
  </si>
  <si>
    <t>SANTO EXPEDITO</t>
  </si>
  <si>
    <t>SÃO BENTO DO SAPUCAI</t>
  </si>
  <si>
    <t>SÃO CAETANO DO SUL</t>
  </si>
  <si>
    <t>SÃO JOÃO DO PAU D´ALHO</t>
  </si>
  <si>
    <t>SÃO JOSE DO BARREIRO</t>
  </si>
  <si>
    <t>SÃO JOSE DO RIO PRETO</t>
  </si>
  <si>
    <t>SÃO JOSE DOS CAMPOS</t>
  </si>
  <si>
    <t>SÃO LUIZ DO PARAITINGA</t>
  </si>
  <si>
    <t>SÃO MANUEL</t>
  </si>
  <si>
    <t>SÃO PEDRO</t>
  </si>
  <si>
    <t>SÃO PEDRO DO TURVO</t>
  </si>
  <si>
    <t>SÃO SEBASTIÃO</t>
  </si>
  <si>
    <t>SARUTAIA</t>
  </si>
  <si>
    <t>SILVEIRAS</t>
  </si>
  <si>
    <t>SUZANO</t>
  </si>
  <si>
    <t>TABATINGA</t>
  </si>
  <si>
    <t>TABOÃO DA SERRA</t>
  </si>
  <si>
    <t>TACIBA</t>
  </si>
  <si>
    <t>TAQUARITUBA</t>
  </si>
  <si>
    <t>TARUMA</t>
  </si>
  <si>
    <t>TEJUPA</t>
  </si>
  <si>
    <t>TEODORO SAMPAIO</t>
  </si>
  <si>
    <t>TIMBURI</t>
  </si>
  <si>
    <t>TORRE DE PEDRA</t>
  </si>
  <si>
    <t>TORRINHA</t>
  </si>
  <si>
    <t>TRABIJU</t>
  </si>
  <si>
    <t>TUPI PAULISTA</t>
  </si>
  <si>
    <t>UBATUBA</t>
  </si>
  <si>
    <t>UBIRAJARA</t>
  </si>
  <si>
    <t>UCHOA</t>
  </si>
  <si>
    <t>URU</t>
  </si>
  <si>
    <t>VALENTIM GENTIL</t>
  </si>
  <si>
    <t>01)</t>
  </si>
  <si>
    <t>02)</t>
  </si>
  <si>
    <t>VARGEM GRANDE PAULISTA</t>
  </si>
  <si>
    <t>VARZEA PAULISTA</t>
  </si>
  <si>
    <t>VERA CRUZ</t>
  </si>
  <si>
    <t>VISTA ALEGRE DO ALTO</t>
  </si>
  <si>
    <t>ZACARIAS</t>
  </si>
  <si>
    <t>AGUAS DE SANTA BÁRBARA</t>
  </si>
  <si>
    <t>ALVINLÂNDIA</t>
  </si>
  <si>
    <t>AMÉRICO DE CAMPOS</t>
  </si>
  <si>
    <t>ARAPEÍ</t>
  </si>
  <si>
    <t>ARCO ÍRIS</t>
  </si>
  <si>
    <t>AREIÓPOLIS</t>
  </si>
  <si>
    <t>AVAÍ</t>
  </si>
  <si>
    <t>AVARÉ</t>
  </si>
  <si>
    <t>BOCÂINA</t>
  </si>
  <si>
    <t>BORACÉIA</t>
  </si>
  <si>
    <t>CNDIDO MOTA</t>
  </si>
  <si>
    <t>CARAPICUÍBA</t>
  </si>
  <si>
    <t>CORUMBATAÉ</t>
  </si>
  <si>
    <t>DOIS CÓRREGOS</t>
  </si>
  <si>
    <t>ECHAPORÁ</t>
  </si>
  <si>
    <t>EMILIANÓPOLIS</t>
  </si>
  <si>
    <t>ESPÍRITO SANTO DO TURVO</t>
  </si>
  <si>
    <t>FLORÍNEA</t>
  </si>
  <si>
    <t>GÁLIA</t>
  </si>
  <si>
    <t>GUAIMBÉ</t>
  </si>
  <si>
    <t>GUAÉRA</t>
  </si>
  <si>
    <t>GUARATINGUETÁ</t>
  </si>
  <si>
    <t>HERCULÂNDIA</t>
  </si>
  <si>
    <t>IEPÊ</t>
  </si>
  <si>
    <t>IGARAÇU DO TIETÊ</t>
  </si>
  <si>
    <t>IGARATÁ</t>
  </si>
  <si>
    <t>INÚBIA PAULISTA</t>
  </si>
  <si>
    <t>IPEÚNA</t>
  </si>
  <si>
    <t>ITAÍ</t>
  </si>
  <si>
    <t>ITÁPOLIS</t>
  </si>
  <si>
    <t>ITAPUÍ</t>
  </si>
  <si>
    <t>JACAREÍ</t>
  </si>
  <si>
    <t>JOANÓPOLIS</t>
  </si>
  <si>
    <t>JOSÉ BONIFACIO</t>
  </si>
  <si>
    <t>JUNQUEIRÓPOLIS</t>
  </si>
  <si>
    <t>LUCÉLIA</t>
  </si>
  <si>
    <t>LUCIANÓPOLIS</t>
  </si>
  <si>
    <t>LUPÉRCIO</t>
  </si>
  <si>
    <t>LUTÉCIA</t>
  </si>
  <si>
    <t>CONTA QSE, CONVÊNIOS E OUTROS RECURSOS ADICIONAIS</t>
  </si>
  <si>
    <t>Montante do repasse apurado com base no percentual mínimo de aplicação das receitas menos conta retificadora do Fundeb (Quadro 01-A)</t>
  </si>
  <si>
    <t>MAIRIPORÃ</t>
  </si>
  <si>
    <t>MARABÁ PAULISTA</t>
  </si>
  <si>
    <t>MARACAÍ</t>
  </si>
  <si>
    <t>MARIÁPOLIS</t>
  </si>
  <si>
    <t>MARÍLIA</t>
  </si>
  <si>
    <t>MARTINÓPOLIS</t>
  </si>
  <si>
    <t>MONGAGUÁ</t>
  </si>
  <si>
    <t>TOTAL DOS RECURSOS DO FUNDEB</t>
  </si>
  <si>
    <t>NAZARÉ PAULISTA</t>
  </si>
  <si>
    <t>NOVA INDEPENDÊNCIA</t>
  </si>
  <si>
    <t>PARAPUÃ</t>
  </si>
  <si>
    <t>PAULICÉIA</t>
  </si>
  <si>
    <t>PAULISTÂNIA</t>
  </si>
  <si>
    <t>PIRAJUÍ</t>
  </si>
  <si>
    <t>POÁ</t>
  </si>
  <si>
    <t>POMPÉIA</t>
  </si>
  <si>
    <t>PONGAÍ</t>
  </si>
  <si>
    <t>PRATÂNIA</t>
  </si>
  <si>
    <t>PRESIDENTE EPITÁCIO</t>
  </si>
  <si>
    <t>QUATÁ</t>
  </si>
  <si>
    <t>RIBEIRÃO DOS ÍNDIOS</t>
  </si>
  <si>
    <t>RINÓPOLIS</t>
  </si>
  <si>
    <t>RIOLÂNDIA</t>
  </si>
  <si>
    <t>SALESÓPOLIS</t>
  </si>
  <si>
    <t>SANTO ANASTÁCIO</t>
  </si>
  <si>
    <t>TAGUAÍ</t>
  </si>
  <si>
    <t>TARABAÍ</t>
  </si>
  <si>
    <t>TAUBATÉ</t>
  </si>
  <si>
    <t>TREMEMBÉ</t>
  </si>
  <si>
    <t>TUPÃ</t>
  </si>
  <si>
    <t>DESPESAS REALIZADAS COM RECURSOS DO FUNDEB</t>
  </si>
  <si>
    <t xml:space="preserve">  SALDO DO EXERCÍCIO ANTERIOR</t>
  </si>
  <si>
    <t>CONSTRUÇÃO DE ESCOLAS E DINHEIRO DIRETO NA ESCOLA (DDE)</t>
  </si>
  <si>
    <t>Rendimentos de Aplicação Financeira Acumulados até o Trimestre</t>
  </si>
  <si>
    <t>Recursos Depositados Acumulados até o Trimestre</t>
  </si>
  <si>
    <t>Despesas Acumuladas Pagas</t>
  </si>
  <si>
    <t>Despesas Acumuladas Pagas não lançadas nos Quadros 2-A e 2-B</t>
  </si>
  <si>
    <t xml:space="preserve">Pagamentos de Restos a Pagar do Exercício Anterior </t>
  </si>
  <si>
    <t xml:space="preserve">Recursos Recebidos Acumulados até o Trimestre </t>
  </si>
  <si>
    <t>Despesas Acumuladas Pagas com Recursos do FUNDEB</t>
  </si>
  <si>
    <t>Pagamentos de Restos a Pagar do Exercício Anterior</t>
  </si>
  <si>
    <t>Despesas Acumuladas Pagas com Recursos Próprios</t>
  </si>
  <si>
    <t>PERCENTUAL APLICADO NO ENSINO</t>
  </si>
  <si>
    <t>12.122 - Administração Geral da Secretaria da Educação</t>
  </si>
  <si>
    <t>12.366 - Educação de Jovens e Adultos</t>
  </si>
  <si>
    <t>Total da Despesa do Ensino</t>
  </si>
  <si>
    <t>Despesas c/ Recursos do QSE, Convênios e Outros</t>
  </si>
  <si>
    <t>Despesas c/ Recursos de Operações de Crédito</t>
  </si>
  <si>
    <t xml:space="preserve">Total da Despesa com Recursos Próprios </t>
  </si>
  <si>
    <t>Depesas realizadas com Recursos do FUNDEB</t>
  </si>
  <si>
    <t>CAJAMAR</t>
  </si>
  <si>
    <t>Parcela Empenhada do Ganho Líquido - FUNDEB</t>
  </si>
  <si>
    <t>QSE, Convênios e Outros Recursos Adicionais</t>
  </si>
  <si>
    <t>Recursos recebidos do FUNDEB</t>
  </si>
  <si>
    <t>Rendimentos de Aplicação Financeira do FUNDEB</t>
  </si>
  <si>
    <t>Recursos de Operações de Crédito</t>
  </si>
  <si>
    <t>APLICAÇÃO NO ENSINO (ART. 212 CF)</t>
  </si>
  <si>
    <t>TOTAL APLICADO NO ENSINO</t>
  </si>
  <si>
    <t>Aplicação dos recursos recebidos do FUNDEB</t>
  </si>
  <si>
    <t>Aplicação nos profissionais do Magistério - FUNDEB</t>
  </si>
  <si>
    <t>TOTAL DAS DESPESAS COM RECURSOS DO FUNDEB</t>
  </si>
  <si>
    <t>Saldo Bancário Conciliado Disponível da Conta LDB destinada aos Repasses Decendiais (Quadro 05)</t>
  </si>
  <si>
    <t>Ir Menu - Quadros Demonstrativos e Imprimir (Vermelho)</t>
  </si>
  <si>
    <t>Ir Quadro Demonstrativo destinado à Publicação e Imprimir (Verde)</t>
  </si>
  <si>
    <t>Ir Protocolo de Entrega por Meio Magnético e Imprimir (Azul)</t>
  </si>
  <si>
    <t>Percentual de Aplicação no Ensino - artigo 212 da Constituição Federal.</t>
  </si>
  <si>
    <r>
      <t xml:space="preserve">Cabe assinalar que é de suma importância que os lançamentos em </t>
    </r>
    <r>
      <rPr>
        <b/>
        <u val="single"/>
        <sz val="13"/>
        <rFont val="Times New Roman"/>
        <family val="1"/>
      </rPr>
      <t>valores acumulados</t>
    </r>
    <r>
      <rPr>
        <b/>
        <sz val="13"/>
        <rFont val="Times New Roman"/>
        <family val="1"/>
      </rPr>
      <t xml:space="preserve"> sejam procedidos de forma correta, pois a inobservância acarretará distorções no cálculo de aplicação no ensino. Assim sendo, o comando relativo ao Período nunca poderá deixar de ser informado. </t>
    </r>
  </si>
  <si>
    <t>Receitas de Manutenção e Desenvolvimento do Ensino e do FUNDEB</t>
  </si>
  <si>
    <t>01-A</t>
  </si>
  <si>
    <t>01-B</t>
  </si>
  <si>
    <t>Demonstrativo dos Recursos Adicionais</t>
  </si>
  <si>
    <t>A operacionalização quanto aos preenchimento destes Quadros será objeto de comentários específicos após o item VI.</t>
  </si>
  <si>
    <t>II - Ir Menu - Quadros Demonstrativos e Imprimir (Vermelho)</t>
  </si>
  <si>
    <t>02-A</t>
  </si>
  <si>
    <t>02-B</t>
  </si>
  <si>
    <t>02-C</t>
  </si>
  <si>
    <t>02-D</t>
  </si>
  <si>
    <t>03</t>
  </si>
  <si>
    <t>04</t>
  </si>
  <si>
    <t>05</t>
  </si>
  <si>
    <t>Despesas das Funcionais 12.122 e 12.361</t>
  </si>
  <si>
    <t>Despesas das Funcionais 12.365, 12.366 e 12.367</t>
  </si>
  <si>
    <t>Despesas com Recursos vinculados ao FUNDEB</t>
  </si>
  <si>
    <t>Saldos das Contas Vinculadas ao Ensino</t>
  </si>
  <si>
    <t>Repasses Financeiros - art. 69, § 5º, Lei Federal nº 9.394/96 - L.D.B.</t>
  </si>
  <si>
    <t>Relação das Contas Bancárias Vinculadas ao Ensino</t>
  </si>
  <si>
    <t>Análise Financeira das Contas Vinculadas ao Ensino</t>
  </si>
  <si>
    <t>06</t>
  </si>
  <si>
    <t>3.3.90.32</t>
  </si>
  <si>
    <t>08</t>
  </si>
  <si>
    <t xml:space="preserve">Despesas do FUNDEB e do FUNDEF realizadas com Saldos de Exercícios Anteriores </t>
  </si>
  <si>
    <t>III - Ir Quadro Demonstrativo destinado à Publicação e Imprimir (Verde)</t>
  </si>
  <si>
    <t>Ao clicar este COMANDO será possível visualizar o Quadro Demonstrativo contendo todas as informações exigidas para publicação (art. 256 C.E.), assim como digitar o nome do Prefeito Municipal, do Secretário de Educação e do Contador. Ao clicar IMPRIMIR (Verde) o quadro será impresso automaticamente.</t>
  </si>
  <si>
    <t>IV - Ir Protocolo de Entrega por Meio Magnético e Imprimir (Azul)</t>
  </si>
  <si>
    <t>Ao clicar este COMANDO será possível visualizar, assim como inserir o nome do Prefeito, do Secretário de Educação, do Contador e do Presidente/ Membro do C.M.E no Documento que servirá de protocolo de entrega  junto a esta Corte de Contas, contendo a síntese do apurado no período e atestando a veracidade dos dados lançados no disquete. Ao clicar IMPRIMIR (Azul) o protocolo será impresso automaticamente.</t>
  </si>
  <si>
    <t>V - Cadastrar Municípios</t>
  </si>
  <si>
    <t>VI - Limpar</t>
  </si>
  <si>
    <t>PBT</t>
  </si>
  <si>
    <t>QUESE FEDERAL</t>
  </si>
  <si>
    <t>PNATE</t>
  </si>
  <si>
    <t>13000095-3</t>
  </si>
  <si>
    <t>NOSSA CAIXA NOSSO BANCO - 25%</t>
  </si>
  <si>
    <t>23450-8</t>
  </si>
  <si>
    <t>13000162-3</t>
  </si>
  <si>
    <t>13000161-5</t>
  </si>
  <si>
    <t>BANCO DO BRASIL - FME</t>
  </si>
  <si>
    <t>NOSSA CAIXA NOSSO BANCO - QUESE TRANSPORTES</t>
  </si>
  <si>
    <t>BANCO DO BRASIL - PNATE</t>
  </si>
  <si>
    <t>BANCO DO BRASIL - PBT</t>
  </si>
  <si>
    <t>BANCO DO BRASIL - QUESE FEDERAL</t>
  </si>
  <si>
    <t>NOSSA CAIXA NOSSO BANCO - 40% - DIVERSOS -FUNDEB</t>
  </si>
  <si>
    <t>NOSSA CAIXA NOSSO BANCO - 60% PROFESSORES - FUNDEB</t>
  </si>
  <si>
    <t>16826-2</t>
  </si>
  <si>
    <t>13000103-8</t>
  </si>
  <si>
    <t>17125-5</t>
  </si>
  <si>
    <t>22135-X</t>
  </si>
  <si>
    <t>Demonstrativo das Receitas da MDE e do FUNDEB</t>
  </si>
  <si>
    <r>
      <t xml:space="preserve">Deverão ser obrigatoriamente preenchidos os valores acumulados até o trimestre de referência relativos às Receitas de Impostos e Transferências, aos Recursos do FUNDEB e  à Conta Retificadora - FUNDEB. </t>
    </r>
    <r>
      <rPr>
        <u val="single"/>
        <sz val="13"/>
        <rFont val="Times New Roman"/>
        <family val="1"/>
      </rPr>
      <t xml:space="preserve">Importante! </t>
    </r>
    <r>
      <rPr>
        <sz val="13"/>
        <rFont val="Times New Roman"/>
        <family val="1"/>
      </rPr>
      <t>Não lançar sinal negativo na conta retificadora.</t>
    </r>
  </si>
  <si>
    <r>
      <t xml:space="preserve">Nos casos de Recursos Adicionais decorrentes de Transferências de convênios e outros, o programa permite que sejam inseridas outras fontes não discriminadas na Planilha. </t>
    </r>
    <r>
      <rPr>
        <u val="single"/>
        <sz val="13"/>
        <rFont val="Times New Roman"/>
        <family val="1"/>
      </rPr>
      <t>Importante!</t>
    </r>
    <r>
      <rPr>
        <sz val="13"/>
        <rFont val="Times New Roman"/>
        <family val="1"/>
      </rPr>
      <t xml:space="preserve"> Lançar as receitas provenientes de rendimentos de aplicação financeira.</t>
    </r>
  </si>
  <si>
    <t>Despesas da Administração Geral e Ensino Fundamental não vinculadas ao FUNDEB</t>
  </si>
  <si>
    <r>
      <t xml:space="preserve">Preenchimento obrigatório das informações relativas às despesas </t>
    </r>
    <r>
      <rPr>
        <b/>
        <sz val="13"/>
        <rFont val="Times New Roman"/>
        <family val="1"/>
      </rPr>
      <t xml:space="preserve">Empenhadas Acumuladas até o Trimestre, </t>
    </r>
    <r>
      <rPr>
        <sz val="13"/>
        <rFont val="Times New Roman"/>
        <family val="1"/>
      </rPr>
      <t>às despesas</t>
    </r>
    <r>
      <rPr>
        <b/>
        <sz val="13"/>
        <rFont val="Times New Roman"/>
        <family val="1"/>
      </rPr>
      <t xml:space="preserve"> Liquidadas Acumuladas</t>
    </r>
    <r>
      <rPr>
        <sz val="13"/>
        <rFont val="Times New Roman"/>
        <family val="1"/>
      </rPr>
      <t xml:space="preserve"> e às despesas </t>
    </r>
    <r>
      <rPr>
        <b/>
        <sz val="13"/>
        <rFont val="Times New Roman"/>
        <family val="1"/>
      </rPr>
      <t>Acumuladas Pagas</t>
    </r>
    <r>
      <rPr>
        <sz val="13"/>
        <rFont val="Times New Roman"/>
        <family val="1"/>
      </rPr>
      <t xml:space="preserve">. </t>
    </r>
  </si>
  <si>
    <t>Havendo necessidade, poderão ser inseridos outros elementos de despesa não previstos na planilha.</t>
  </si>
  <si>
    <r>
      <t xml:space="preserve">Os </t>
    </r>
    <r>
      <rPr>
        <b/>
        <sz val="13"/>
        <rFont val="Times New Roman"/>
        <family val="1"/>
      </rPr>
      <t>valores liquidados e pagos acumulados</t>
    </r>
    <r>
      <rPr>
        <sz val="13"/>
        <rFont val="Times New Roman"/>
        <family val="1"/>
      </rPr>
      <t xml:space="preserve"> até o trimestre de referência, informados nas duas últimas colunas do quadro serão digitados trimestralmente, sendo prudente apagar os dados lançados anteriormente antes de implantar novos valores. Para tanto, basta clicar no botão </t>
    </r>
    <r>
      <rPr>
        <b/>
        <sz val="13"/>
        <rFont val="Times New Roman"/>
        <family val="1"/>
      </rPr>
      <t>LIMPAR ESTA COLUNA</t>
    </r>
    <r>
      <rPr>
        <sz val="13"/>
        <rFont val="Times New Roman"/>
        <family val="1"/>
      </rPr>
      <t>, localizado acima da última coluna do quadro.</t>
    </r>
  </si>
  <si>
    <t>CHECK</t>
  </si>
  <si>
    <t>Despesas da Educação Infantil, de Jovens e Adultos e Especial não vinculadas ao FUNDEB</t>
  </si>
  <si>
    <t>Despesas realizadas com Recursos do FUNDEB</t>
  </si>
  <si>
    <t>Despesas realizadas com Recursos Adicionais</t>
  </si>
  <si>
    <r>
      <t xml:space="preserve">Não esquecer de lançar os </t>
    </r>
    <r>
      <rPr>
        <b/>
        <sz val="13"/>
        <rFont val="Times New Roman"/>
        <family val="1"/>
      </rPr>
      <t>valores liquidados e pagos acumulados</t>
    </r>
    <r>
      <rPr>
        <sz val="13"/>
        <rFont val="Times New Roman"/>
        <family val="1"/>
      </rPr>
      <t xml:space="preserve"> até o trimestre de referência para a correta apuração da aplicação no ensino.</t>
    </r>
  </si>
  <si>
    <t>Quad. 03.</t>
  </si>
  <si>
    <t xml:space="preserve">O Quadro de Repasses Decendiais apresenta 04 planilhas relativas aos meses de Janeiro a Dezembro, distribuídos em 04 trimestres. Com isso  os dados mensais de cada trimestre, não mais se perderão,  possibilitando assim a apuração automática dos valores acumulados exigidos no Quadro 06 - Posição Financeira das Contas Vinculadas do Ensino. </t>
  </si>
  <si>
    <t>Quad. 04.</t>
  </si>
  <si>
    <t>Quad. 01-A.</t>
  </si>
  <si>
    <t>Quad. 01-B.</t>
  </si>
  <si>
    <t>Quad. 02-A.</t>
  </si>
  <si>
    <t>QUESE SALARIO ESTADUAL</t>
  </si>
  <si>
    <t>QUESE SALARIO FEDERAL</t>
  </si>
  <si>
    <t>Ao clicar o COMANDO IMPRIMIR (Vermelho) todos os Quadros Demonstrativos serão automaticamente impressos.</t>
  </si>
  <si>
    <t xml:space="preserve"> SALDO FINANCEIRO APURADO</t>
  </si>
  <si>
    <t>Saldo Financeiro Apurado</t>
  </si>
  <si>
    <t>Quad. 02-B.</t>
  </si>
  <si>
    <t>Quad. 02-C.</t>
  </si>
  <si>
    <t>Quad. 02-D.</t>
  </si>
  <si>
    <t>Saldos das Contas Vinculadas do Ensino</t>
  </si>
  <si>
    <r>
      <t xml:space="preserve">Preenchimento obrigatório das informações relativas ao saldo do exercício anterior, assim como de eventuais pagamentos de restos a pagar realizados por meio da conta vinculada. </t>
    </r>
  </si>
  <si>
    <t>Nos casos em que forem realizados pagamentos cujas despesas não foram lançadas ou não reconhecidas nos Quadros 2-A e 2-B, proceder ao ajuste no campo "Despesas pagas não lançadas nos Quadros 2-A e 2-B".</t>
  </si>
  <si>
    <t>Quad. 05.</t>
  </si>
  <si>
    <t>Relação de Contas Bancárias Vinculadas do Ensino</t>
  </si>
  <si>
    <r>
      <t xml:space="preserve">Preenchimento obrigatório das informações relativas às contas vinculadas ao ensino, evidenciando os saldos bancários conciliados e o saldos constantes dos boletins de caixa. </t>
    </r>
  </si>
  <si>
    <t>Análise Financeira das Contas Vinculadas do Ensino</t>
  </si>
  <si>
    <r>
      <t xml:space="preserve">O demonstrativo analítico será gerado automaticamente, portanto deverão </t>
    </r>
    <r>
      <rPr>
        <b/>
        <sz val="13"/>
        <rFont val="Times New Roman"/>
        <family val="1"/>
      </rPr>
      <t>obrigatoriamente ser preenchidos</t>
    </r>
    <r>
      <rPr>
        <sz val="13"/>
        <rFont val="Times New Roman"/>
        <family val="1"/>
      </rPr>
      <t xml:space="preserve"> todos os campos referentes aos Repasses Decendiais (Quadro 03), aos Saldos das Contas Vinculadas ao Ensino (Quadro 04) e às Contas Vinculadas ao Ensino (Quadro 05). </t>
    </r>
  </si>
  <si>
    <t>13000187-9</t>
  </si>
  <si>
    <t>NCNBANCO - FUNDEB EX.ANTERIOR-ANT.PARC.DIFERIDA</t>
  </si>
  <si>
    <t>RAMIRO DE CAMPOS</t>
  </si>
  <si>
    <t>MÁRCIA DE CAMPOS TREVISAN</t>
  </si>
  <si>
    <r>
      <t xml:space="preserve">Os </t>
    </r>
    <r>
      <rPr>
        <b/>
        <sz val="13"/>
        <rFont val="Times New Roman"/>
        <family val="1"/>
      </rPr>
      <t xml:space="preserve">valores relativos aos saldos da contas vinculadas </t>
    </r>
    <r>
      <rPr>
        <sz val="13"/>
        <rFont val="Times New Roman"/>
        <family val="1"/>
      </rPr>
      <t xml:space="preserve">serão informados trimestralmente, sendo prudente apagar os dados lançados anteriormente antes de implantar novos valores. Para tanto, basta clicar no botão </t>
    </r>
    <r>
      <rPr>
        <b/>
        <sz val="13"/>
        <rFont val="Times New Roman"/>
        <family val="1"/>
      </rPr>
      <t>LIMPAR SALDOS</t>
    </r>
    <r>
      <rPr>
        <sz val="13"/>
        <rFont val="Times New Roman"/>
        <family val="1"/>
      </rPr>
      <t>, localizado acima da última coluna do quadro.</t>
    </r>
  </si>
  <si>
    <t xml:space="preserve"> Este quadro sintetiza todas as informações, pois demonstra  os percentuais aplicados no Ensino e as aplicações dos Recursos do FUNDEB. Todas as informações serão fornecidas automaticamente pelo programa, desde que os dados sejam inseridos corretamente nas planilhas.</t>
  </si>
  <si>
    <t>Quad. 06.</t>
  </si>
  <si>
    <t>Quad. 07.</t>
  </si>
  <si>
    <t>Quad. 08.</t>
  </si>
  <si>
    <t>Despesas do FUNDEB e do FUNDEF realizadas com Saldos de Exercícios Anteriores.</t>
  </si>
  <si>
    <t>Os valores lançados neste quadro não interferem no cálculo de aplicação do exercício em exame. Porém, o seu preenchimento é obrigatório para que sirva de subsídio à análise do total das despesas contabilizadas, bem como para a correta apuração da posição financeira das contas vinculadas ao Fundeb e Fundef (se houver saldo pendente).</t>
  </si>
  <si>
    <t>CHECK.</t>
  </si>
  <si>
    <t>DESPESAS DO ENSINO FUNDAMENTAL REALIZADAS COM SALDO DE RECURSOS DO FUNDEF</t>
  </si>
  <si>
    <t>ENSINO FUNDAMENTAL (60%)</t>
  </si>
  <si>
    <t>ENSINO FUNDAMENTAL (40%)</t>
  </si>
  <si>
    <t>TOTAL DAS DESPESAS COM RECURSOS DO FUNDEF</t>
  </si>
  <si>
    <t>Subtotal</t>
  </si>
  <si>
    <t>FUNDEB</t>
  </si>
  <si>
    <t>TOTAL ACUMULADO</t>
  </si>
  <si>
    <t>TRANSPORTE ESCOLAR</t>
  </si>
  <si>
    <t>OUTROS RECURSOS ADICIONAIS</t>
  </si>
  <si>
    <t>CONVÊNIOS E OUTROS RECURSOS ADICIONAIS</t>
  </si>
  <si>
    <t>2007</t>
  </si>
  <si>
    <t>2008</t>
  </si>
  <si>
    <t>2009</t>
  </si>
  <si>
    <t>2010</t>
  </si>
  <si>
    <t>2011</t>
  </si>
  <si>
    <t>2012</t>
  </si>
  <si>
    <t>1º a 10</t>
  </si>
  <si>
    <t>11 a 20</t>
  </si>
  <si>
    <t>21 a 30</t>
  </si>
  <si>
    <t>MÊS</t>
  </si>
  <si>
    <t>PERÍODO</t>
  </si>
  <si>
    <t>DESCRIÇÃO</t>
  </si>
  <si>
    <t>FPM/ ICMS/ IPI/ LC 87/96</t>
  </si>
  <si>
    <t>IPVA/ ITR</t>
  </si>
  <si>
    <t>PERÍODO (DIAS)</t>
  </si>
  <si>
    <t>CADASTRO DE MUNICÍPIOS:</t>
  </si>
  <si>
    <t>AGUAÍ</t>
  </si>
  <si>
    <t>ÁGUAS DA PRATA</t>
  </si>
  <si>
    <t>ÁGUAS DE LINDÓIA</t>
  </si>
  <si>
    <t>ÁGUAS DE SÃO PEDRO</t>
  </si>
  <si>
    <t>ALAMBARI</t>
  </si>
  <si>
    <t>ALTINÓPOLIS</t>
  </si>
  <si>
    <t>ALUMÍNIO</t>
  </si>
  <si>
    <t>AMERICANA</t>
  </si>
  <si>
    <t>AMÉRICO BRASILIENSE</t>
  </si>
  <si>
    <t>AMPARO</t>
  </si>
  <si>
    <t>ANALÂNDIA</t>
  </si>
  <si>
    <t>ANGATUBA</t>
  </si>
  <si>
    <t>APARECIDA D´ESTE</t>
  </si>
  <si>
    <t>APIAÍ</t>
  </si>
  <si>
    <t>TOTAL DAS DESPESAS DO ENSINO C/ RECURSOS PRÓPRIOS</t>
  </si>
  <si>
    <t>TOTAL DAS DESPESAS DO ENSINO</t>
  </si>
  <si>
    <t>ARAÇARIGUAMA</t>
  </si>
  <si>
    <t>ARAÇATUBA</t>
  </si>
  <si>
    <t>ARAÇOIABA DA SERRA</t>
  </si>
  <si>
    <t>ARAMINA</t>
  </si>
  <si>
    <t>ARARAS</t>
  </si>
  <si>
    <t>ARTUR NOGUEIRA</t>
  </si>
  <si>
    <t>ARUJÁ</t>
  </si>
  <si>
    <t>ASPÁSIA</t>
  </si>
  <si>
    <t>AURIFLAMA</t>
  </si>
  <si>
    <t>BARÃO DE ANTONINA</t>
  </si>
  <si>
    <t>BARRA DO CHAPÉU</t>
  </si>
  <si>
    <t>BARRA DO TURVO</t>
  </si>
  <si>
    <t>BARRINHA</t>
  </si>
  <si>
    <t>BATATAIS</t>
  </si>
  <si>
    <t>BEBEDOURO</t>
  </si>
  <si>
    <t>BENTO DE ABREU</t>
  </si>
  <si>
    <t>BILAC</t>
  </si>
  <si>
    <t>BIRIGUI</t>
  </si>
  <si>
    <t>BOITUVA</t>
  </si>
  <si>
    <t>BOM SUCESSO DE ITARARÉ</t>
  </si>
  <si>
    <t>BRAÚNA</t>
  </si>
  <si>
    <t>BREJO ALEGRE</t>
  </si>
  <si>
    <t>BRODOWSKI</t>
  </si>
  <si>
    <t>BURI</t>
  </si>
  <si>
    <t>BURITAMA</t>
  </si>
  <si>
    <t>BURITIZAL</t>
  </si>
  <si>
    <t>CABREÚVA</t>
  </si>
  <si>
    <t>CACONDE</t>
  </si>
  <si>
    <t>CAJATI</t>
  </si>
  <si>
    <t>CAJURU</t>
  </si>
  <si>
    <t>CAMPINA DO MONTE ALEGRE</t>
  </si>
  <si>
    <t>CAMPINAS</t>
  </si>
  <si>
    <t>CAPÃO BONITO</t>
  </si>
  <si>
    <t>CAPELA DO ALTO</t>
  </si>
  <si>
    <t>CAPIVARI</t>
  </si>
  <si>
    <t>CASA BRANCA</t>
  </si>
  <si>
    <t>CÁSSIA DOS COQUEIROS</t>
  </si>
  <si>
    <t>CERQUILHO</t>
  </si>
  <si>
    <t>CESÁRIO LANGE</t>
  </si>
  <si>
    <t>CLEMENTIVA</t>
  </si>
  <si>
    <t>CONCHAL</t>
  </si>
  <si>
    <t>CORDEIRÓPOLIS</t>
  </si>
  <si>
    <t>COROADOS</t>
  </si>
  <si>
    <t>CORUMBATAÍ</t>
  </si>
  <si>
    <t>COSMÓPOLIS</t>
  </si>
  <si>
    <t>CRAVINHOS</t>
  </si>
  <si>
    <t>CRISTAIS PAULISTA</t>
  </si>
  <si>
    <t>DESCALVADO</t>
  </si>
  <si>
    <t>DIRCE REIS</t>
  </si>
  <si>
    <t>DIVINOLÂNDIA</t>
  </si>
  <si>
    <t>DOLCINÕPOLIS</t>
  </si>
  <si>
    <t>DUMONT</t>
  </si>
  <si>
    <t>ELDORADO</t>
  </si>
  <si>
    <t>ELIAS FAUSTO</t>
  </si>
  <si>
    <t>ENGENHEIRO COELHO</t>
  </si>
  <si>
    <t>ESPÍRITO SANTO DO PINHAL</t>
  </si>
  <si>
    <t>ESTIVA GERBI</t>
  </si>
  <si>
    <t>ESTRELA D´OESTE</t>
  </si>
  <si>
    <t>FERNANDÓPOLIS</t>
  </si>
  <si>
    <t>FLOREAL</t>
  </si>
  <si>
    <t>FRANCA</t>
  </si>
  <si>
    <t>FRANCISCO MORATO</t>
  </si>
  <si>
    <t>GABRIEL MONTEIRO</t>
  </si>
  <si>
    <t>GASTÃO VIDIGAL</t>
  </si>
  <si>
    <t>GENERAL SALGADO</t>
  </si>
  <si>
    <t>GLICÉRIO</t>
  </si>
  <si>
    <t>GUAÍRA</t>
  </si>
  <si>
    <t>GUAPIARA</t>
  </si>
  <si>
    <t>GUARARAPES</t>
  </si>
  <si>
    <t>GUARÁ</t>
  </si>
  <si>
    <t>GUAREÍ</t>
  </si>
  <si>
    <t>GUARIBA</t>
  </si>
  <si>
    <t>GUARUJÁ</t>
  </si>
  <si>
    <t>GUATAPARÁ</t>
  </si>
  <si>
    <t>GUZOLÂNDIA</t>
  </si>
  <si>
    <t>HOLAMBRA</t>
  </si>
  <si>
    <t>SALDO DO EXERCÍCIO ANTERIOR FUNDEB</t>
  </si>
  <si>
    <t>PRO INFANCIA - ESCOLA INFANTIL</t>
  </si>
  <si>
    <t>24911-4</t>
  </si>
  <si>
    <t>HORTOLÂNDIA</t>
  </si>
  <si>
    <t>IBATÉ</t>
  </si>
  <si>
    <t>IGARAPAVA</t>
  </si>
  <si>
    <t>INDAIATUBA</t>
  </si>
  <si>
    <t>IPERÓ</t>
  </si>
  <si>
    <t>IPORANGA</t>
  </si>
  <si>
    <t>IPUÃ</t>
  </si>
  <si>
    <t>IRACEMÁPOLIS</t>
  </si>
  <si>
    <t>ITABERÁ</t>
  </si>
  <si>
    <t>ITANHAÉM</t>
  </si>
  <si>
    <t>ITAOCA</t>
  </si>
  <si>
    <t>ITAPECERICA DA SERRA</t>
  </si>
  <si>
    <t>ITAPETININGA</t>
  </si>
  <si>
    <t>ITAPEVA</t>
  </si>
  <si>
    <t>ITAPEVI</t>
  </si>
  <si>
    <t>ITAPIRA</t>
  </si>
  <si>
    <t>ITAPIRAPÚÃ PAULISTA</t>
  </si>
  <si>
    <t>ITARARÉ</t>
  </si>
  <si>
    <t>ITATIBA</t>
  </si>
  <si>
    <t>ITURAPUÃ</t>
  </si>
  <si>
    <t>ITOBI</t>
  </si>
  <si>
    <t>ITU</t>
  </si>
  <si>
    <t>ITUVERAVA</t>
  </si>
  <si>
    <t>JABOTICABAL</t>
  </si>
  <si>
    <t>JAGUATIÚNA</t>
  </si>
  <si>
    <t>JALES</t>
  </si>
  <si>
    <t>JARDINÓPOLIS</t>
  </si>
  <si>
    <t>JERIQUARA</t>
  </si>
  <si>
    <t>JUMIRIM</t>
  </si>
  <si>
    <t>JUNDIAÍ</t>
  </si>
  <si>
    <t>LAVÍNIA</t>
  </si>
  <si>
    <t>LEME</t>
  </si>
  <si>
    <t>LIMEIRA</t>
  </si>
  <si>
    <t>LINDÓIA</t>
  </si>
  <si>
    <t>LOURDES</t>
  </si>
  <si>
    <t>LUÍS ANTÔNIO</t>
  </si>
  <si>
    <t>MACAUBAL</t>
  </si>
  <si>
    <t>MAGDA</t>
  </si>
  <si>
    <t>Construção de Escola</t>
  </si>
  <si>
    <t>Código</t>
  </si>
  <si>
    <t>TOTAL DAS DESPESAS EMPENHADAS COM RECURSOS PRÓPRIOS</t>
  </si>
  <si>
    <t>Despesas pagas com recursos próprios</t>
  </si>
  <si>
    <t>3.3.50.43</t>
  </si>
  <si>
    <t>Subvenções Sociais</t>
  </si>
  <si>
    <t>Material de Distribuição Gratuita</t>
  </si>
  <si>
    <t>3.3.90.31</t>
  </si>
  <si>
    <t>Despesas liquidadas nas funcionais 12.122, 12.361, 12.365, 12.366 E 12.367 (Quadros 2-A e 2-B)</t>
  </si>
  <si>
    <t>Despesas empenhadas nas funcionais 12.122, 12.361, 12.365, 12.366 E 12.367 (Quadros 2-A e 2-B)</t>
  </si>
  <si>
    <t>Despesas liquidadas com recursos adicionais (Quadro 2-D)</t>
  </si>
  <si>
    <t xml:space="preserve">( - ) </t>
  </si>
  <si>
    <t>TOTAL DAS DESPESAS LIQUIDADAS COM RECURSOS PRÓPRIOS</t>
  </si>
  <si>
    <t>MAIRINQUE</t>
  </si>
  <si>
    <t>MARINÓPOLIS</t>
  </si>
  <si>
    <t>MAUÁ</t>
  </si>
  <si>
    <t>MERIDIANO</t>
  </si>
  <si>
    <t>MEÓPOLIS</t>
  </si>
  <si>
    <t>MIGUELÓPÓLIS</t>
  </si>
  <si>
    <t>MIRANDÓPOLIS</t>
  </si>
  <si>
    <t>MOCOCA</t>
  </si>
  <si>
    <t>MOGI GUAÇU</t>
  </si>
  <si>
    <t>MOGI MIRIM</t>
  </si>
  <si>
    <t>MOMBUCA</t>
  </si>
  <si>
    <t>MONÇÕES</t>
  </si>
  <si>
    <t>MONTE ALEGRE DO SUL</t>
  </si>
  <si>
    <t>MONTE ALTO</t>
  </si>
  <si>
    <t>MONTE MOR</t>
  </si>
  <si>
    <t>MORRO AGUDO</t>
  </si>
  <si>
    <t>MORUNGABA</t>
  </si>
  <si>
    <t>NHANDEARA</t>
  </si>
  <si>
    <t>NOVA CAMPINA</t>
  </si>
  <si>
    <t>NOVA CANAÃ PAULISTA</t>
  </si>
  <si>
    <t>NOVA CASTILHO</t>
  </si>
  <si>
    <t>NOVA LUZITÂNIA</t>
  </si>
  <si>
    <t xml:space="preserve">NOVA ODESSA </t>
  </si>
  <si>
    <t>NUPORANGA</t>
  </si>
  <si>
    <t>ORLÂNDIA</t>
  </si>
  <si>
    <t>OSASCO</t>
  </si>
  <si>
    <t>PALMEIRA D´OESTE</t>
  </si>
  <si>
    <t>PARARAPANEMA</t>
  </si>
  <si>
    <t>PARANAPUÃ</t>
  </si>
  <si>
    <t>PATROCÍCIO PAULISTA</t>
  </si>
  <si>
    <t>PAULÍNIA</t>
  </si>
  <si>
    <t>PEDREGULHO</t>
  </si>
  <si>
    <t>PEDREIRA</t>
  </si>
  <si>
    <t>PENÁPOLIS</t>
  </si>
  <si>
    <t>PEREIRA BARRETO</t>
  </si>
  <si>
    <t>PIACATU</t>
  </si>
  <si>
    <t>PIEDADE</t>
  </si>
  <si>
    <t>PILAR DO SUL</t>
  </si>
  <si>
    <t>PINHALZINHO</t>
  </si>
  <si>
    <t>PIRACICABA</t>
  </si>
  <si>
    <t>PIRASSUNUNGA</t>
  </si>
  <si>
    <t>ÉBIO APARECIDO TREVISAN</t>
  </si>
  <si>
    <t>SONIA MARIA VIEIRA TREVISAN</t>
  </si>
  <si>
    <t>CELINA LEITE - 1sp211657/-3</t>
  </si>
  <si>
    <t>2008.</t>
  </si>
  <si>
    <t>CELINA LEITE</t>
  </si>
  <si>
    <t>Material dist.gratuita</t>
  </si>
  <si>
    <t>PITANGUEIRAS</t>
  </si>
  <si>
    <t>PONDA LINDA</t>
  </si>
  <si>
    <t xml:space="preserve">PONTAL </t>
  </si>
  <si>
    <t>POPULINA</t>
  </si>
  <si>
    <t>PORTO FELIZ</t>
  </si>
  <si>
    <t>PORTO FERREIRA</t>
  </si>
  <si>
    <t>PRADÓPOLIS</t>
  </si>
  <si>
    <t>PRAIA GRANDE</t>
  </si>
  <si>
    <t>QUADRA</t>
  </si>
  <si>
    <t>RAFARD</t>
  </si>
  <si>
    <t>REGISTRO</t>
  </si>
  <si>
    <t>RESTINGA</t>
  </si>
  <si>
    <t>RIBEIRA</t>
  </si>
  <si>
    <t>RIBEIRÃO BONITO</t>
  </si>
  <si>
    <t>RIBEIRÃO BRANCO</t>
  </si>
  <si>
    <t>RIBEIRÃO CORRENTE</t>
  </si>
  <si>
    <t>RIBEIRÃO GRANDE</t>
  </si>
  <si>
    <t>RIBEIRÃO PRETO</t>
  </si>
  <si>
    <t>RIFAINA</t>
  </si>
  <si>
    <t>RINCÃO</t>
  </si>
  <si>
    <t>RIO CLARO</t>
  </si>
  <si>
    <t>DESPESAS GERAIS DA EDUCAÇÃO E ENSINO FUNDAMENTAL NÃO VINCULADAS AO FUNDEB</t>
  </si>
  <si>
    <t>DESPESAS VINCULADAS AO FUNDEB</t>
  </si>
  <si>
    <t>TOTAL DO 1º TRIMESTRE</t>
  </si>
  <si>
    <t>TOTAL DO 2º TRIMESTRE</t>
  </si>
  <si>
    <t>TOTAL DO 3º TRIMESTRE</t>
  </si>
  <si>
    <t>TOTAL DO 4º TRIMESTRE</t>
  </si>
  <si>
    <t>CHECK 12</t>
  </si>
  <si>
    <t>CHECK 13</t>
  </si>
  <si>
    <t>RIO DAS PEDRAS</t>
  </si>
  <si>
    <t>RIO GRANDE DA SERRA</t>
  </si>
  <si>
    <t>RIVERSUL</t>
  </si>
  <si>
    <t>RUBIÁCEA</t>
  </si>
  <si>
    <t>RUBINÉIA</t>
  </si>
  <si>
    <t>SALES DE OLIVEIRA</t>
  </si>
  <si>
    <t>SALTINHO</t>
  </si>
  <si>
    <t>SALTO DE PIRAPORA</t>
  </si>
  <si>
    <t>SANTA ALBERTINA</t>
  </si>
  <si>
    <t>SANTA BÁRBARA D´OESTE</t>
  </si>
  <si>
    <t>SANTA CLARA D´OESTE</t>
  </si>
  <si>
    <t>SANTA CRUZ DA CONCEIÇÃO</t>
  </si>
  <si>
    <t>SANTA CRUZ DA ESPERANÇA</t>
  </si>
  <si>
    <t>SANTA CRUZ DAS PALMEIRAS</t>
  </si>
  <si>
    <t>SANTA FÉ DO SUL</t>
  </si>
  <si>
    <t>SANTA GERTRUDES</t>
  </si>
  <si>
    <t>SANTA LÚCIA</t>
  </si>
  <si>
    <t>SANTA RITA D´OESTE</t>
  </si>
  <si>
    <t>Transferências Obrigatórias (2º Decêndio)</t>
  </si>
  <si>
    <t>Transferências Obrigatórias (3º Decêndio)</t>
  </si>
  <si>
    <t>Total das Transferências Obrigatórias</t>
  </si>
  <si>
    <t>O quadro apresenta as principais inconsistências verificadas. As hipóteses indicadas nos itens 01 a 13, se ocorrerem, bloquearão a emissão do Resumo Consolidado, ou seja, sairá em branco, portanto é de suma importância que se verifique a ocorrência e proceda à devida correção. As hipóteses descritas nos itens 14 e 15 não impedirão a emissão do Resumo Consolidado, porém servem como alerta para eventual falta de preenchimento de dados.</t>
  </si>
  <si>
    <t>Aquisição de Imóveis</t>
  </si>
  <si>
    <r>
      <t xml:space="preserve">Importante! </t>
    </r>
    <r>
      <rPr>
        <sz val="13"/>
        <rFont val="Times New Roman"/>
        <family val="1"/>
      </rPr>
      <t>Despesas realizadas com recursos adicionais não são consideradas no cálculo do percentual mínimo de aplicação no ensino. Os valores lançados neste quadro reduzem o montante de aplicação, portanto somente deverão ser informadas as despesas realizadas com recursos adicionais que foram contabilizadas nas funcionais programáticas 12.122, 12.361, 12.365, 12.366 e 12.367.</t>
    </r>
  </si>
  <si>
    <t>Muita atenção ao lançar os valores pertinentes ao QSE e demais despesas realizadas com recursos adicionais! Se os recursos foram utilizados para realização de despesas lançadas em outras funcionais programáticas (Ex. 12.306), não lançar as despesas neste quadro, porquanto haverá dedução de valores indevidamente. Nesse caso, para a correta apuração do saldo financeiro relativo à conta vinculada, utilizar-se do campo existente no Quadro 04 - "Despesas não lançadas nos Quadros 02-A e 02-B".</t>
  </si>
  <si>
    <t>SANTA RITA DO PASSA QUATRO</t>
  </si>
  <si>
    <t>SANTA ROSA DE VITERBO</t>
  </si>
  <si>
    <t>SANTA SALETE</t>
  </si>
  <si>
    <t>SANTANA DA PONTE PENSA</t>
  </si>
  <si>
    <t>SANTANA DO PEARNAÍBA</t>
  </si>
  <si>
    <t>SANTO ANTÔNIO DA ALEGRIA</t>
  </si>
  <si>
    <t>SANTO ANTÔNIO DA POSSE</t>
  </si>
  <si>
    <t>SANTO ANTÔNIO DO ARACANGUÁ</t>
  </si>
  <si>
    <t>INCLUSÃO DIGITAL</t>
  </si>
  <si>
    <t>SANTO ANTÔNIO DO JARDIM</t>
  </si>
  <si>
    <t>13700133-5</t>
  </si>
  <si>
    <t>NOSSA CAIXA NOSSO BANCO - QUESE SALÁRIO EDUCAÇÃO</t>
  </si>
  <si>
    <t>SANTÓPOLIS DO AGUAPEÍ</t>
  </si>
  <si>
    <t>SANTOS</t>
  </si>
  <si>
    <t>SÃO CAETANDO DO SUL</t>
  </si>
  <si>
    <t>SÃO CARLOS</t>
  </si>
  <si>
    <t>SÃO FRANCISCO</t>
  </si>
  <si>
    <t>SÃO JOÃO DA BOA VISTA</t>
  </si>
  <si>
    <t>SÃO JOÃO DAS DUAS PONTES</t>
  </si>
  <si>
    <t>SÃO JOÃO DE IRACEMA</t>
  </si>
  <si>
    <t>SÃO JOAQUIM DA BARRA</t>
  </si>
  <si>
    <t>SÃO JOSÉ DA BELA VISTA</t>
  </si>
  <si>
    <t>SÃO JOSÉ DO RIO PARDO</t>
  </si>
  <si>
    <t>SÃO LOURENÇO DA SERRA</t>
  </si>
  <si>
    <t>SÃO MIGUEL ARCANJO</t>
  </si>
  <si>
    <t>SÃO ROQUE</t>
  </si>
  <si>
    <t>SÃO SEBASTIÃO DA GRAMA</t>
  </si>
  <si>
    <t>SÃO SIMÃO</t>
  </si>
  <si>
    <t>SARAPUÍ</t>
  </si>
  <si>
    <t>SERRA AZUL</t>
  </si>
  <si>
    <t xml:space="preserve">SERRA NEGRA </t>
  </si>
  <si>
    <t>SERRANA</t>
  </si>
  <si>
    <t>SERTÃOZINHO</t>
  </si>
  <si>
    <t>SETE BARRAS</t>
  </si>
  <si>
    <t>SOCORRO</t>
  </si>
  <si>
    <t>SOROCABA</t>
  </si>
  <si>
    <t>SUD MENNUCCI</t>
  </si>
  <si>
    <t>SUMARÉ</t>
  </si>
  <si>
    <t>SUZANÁPOLIS</t>
  </si>
  <si>
    <t>TAIAÇU</t>
  </si>
  <si>
    <t>TAMBAÚ</t>
  </si>
  <si>
    <t>TAPIRAÍ</t>
  </si>
  <si>
    <t>TAPIRATIBA</t>
  </si>
  <si>
    <t>TAQUARAL</t>
  </si>
  <si>
    <t>TAUQUARIVAÍ</t>
  </si>
  <si>
    <t>TATUÍ</t>
  </si>
  <si>
    <t>TERRA ROXA</t>
  </si>
  <si>
    <t>TIETÊ</t>
  </si>
  <si>
    <t>TRÊS FRONTEIRAS</t>
  </si>
  <si>
    <t>TUIUTI</t>
  </si>
  <si>
    <t>TURIUBA</t>
  </si>
  <si>
    <t>TURMALINA</t>
  </si>
  <si>
    <t>URÂNIA</t>
  </si>
  <si>
    <t>VALINHOS</t>
  </si>
  <si>
    <t>VALPARAÍSO</t>
  </si>
  <si>
    <t>VARGEM GRANDE DO SUL</t>
  </si>
  <si>
    <t>VINHEDO</t>
  </si>
  <si>
    <t>VIRADOURO</t>
  </si>
  <si>
    <t>VITÓRIA BRASIL</t>
  </si>
  <si>
    <t>VOTORANTIM</t>
  </si>
  <si>
    <t>Total das Transferências da União:</t>
  </si>
  <si>
    <t>Total das Transferências do Estado:</t>
  </si>
  <si>
    <t>RESUMO CONSOLIDADO</t>
  </si>
  <si>
    <t>SÃO BERNARDO DO CAMPO</t>
  </si>
  <si>
    <t>Municípios</t>
  </si>
  <si>
    <t>SANTO ANDRÉ</t>
  </si>
  <si>
    <t>IMPOSTOS MUNICIPAIS</t>
  </si>
  <si>
    <t>Total das Receitas Próprias:</t>
  </si>
  <si>
    <t>TOTAL</t>
  </si>
  <si>
    <t>NÚMERO DA C/C</t>
  </si>
  <si>
    <t>SALDO</t>
  </si>
  <si>
    <t>RECEITAS DE IMPOSTOS E TRANSFERÊNCIAS DE IMPOSTOS</t>
  </si>
  <si>
    <t>Receitas Próprias</t>
  </si>
  <si>
    <t>ACUMULADO</t>
  </si>
  <si>
    <t>%</t>
  </si>
  <si>
    <t xml:space="preserve">    Rendimentos de Aplicação Financeira</t>
  </si>
  <si>
    <t xml:space="preserve"> </t>
  </si>
  <si>
    <t>EMPENHADO ACUMULADO</t>
  </si>
  <si>
    <t>Cota Municipal</t>
  </si>
  <si>
    <t>Salário Educação - Cota Municipal</t>
  </si>
  <si>
    <t>Conta LDB (Ens. Fundamental, Ed. Infantil, EJA e Ed. Especial)</t>
  </si>
  <si>
    <t>DESPESAS DA EDUCAÇÃO INFANTIL, DE JOVENS E ADULTOS E ESPECIAL NÃO VINCULADAS AO FUNDEB</t>
  </si>
  <si>
    <t>12.122 - ADMINISTRAÇÃO GERAL</t>
  </si>
  <si>
    <t>TOTAL DESP. ED. INFANTIL, EJA E ED. ESPECIAL</t>
  </si>
  <si>
    <t>APURAÇÃO DAS RECEITAS</t>
  </si>
  <si>
    <t>CONTA RETIFICADORA</t>
  </si>
  <si>
    <t>RECEITA DO FUNDEB</t>
  </si>
  <si>
    <t>RECEITAS ADICIONAIS</t>
  </si>
  <si>
    <t>TOTAL DOS RENDIMENTOS DE APLICAÇÃO FINANCEIRA</t>
  </si>
  <si>
    <t>DESPESAS</t>
  </si>
  <si>
    <t>EMP.</t>
  </si>
  <si>
    <t>Diferença</t>
  </si>
  <si>
    <t xml:space="preserve">CONTAS VINCULADAS AO ENSINO DESTINADAS AOS DEPÓSITOS DOS REPASSES DECENDIAIS </t>
  </si>
  <si>
    <t>ACUMULADA</t>
  </si>
  <si>
    <t>A)</t>
  </si>
  <si>
    <t>B)</t>
  </si>
  <si>
    <t xml:space="preserve"> FUNDEB</t>
  </si>
  <si>
    <t>, em</t>
  </si>
  <si>
    <t>de</t>
  </si>
  <si>
    <t>_________________________________</t>
  </si>
  <si>
    <t>Secretário(a) da Educação</t>
  </si>
  <si>
    <t>Prefeito(a) Municipal</t>
  </si>
  <si>
    <t>Contador(a)</t>
  </si>
  <si>
    <t xml:space="preserve"> Aplicação no ensino -  Artigo 212 da CF</t>
  </si>
  <si>
    <t xml:space="preserve"> Recursos do Fundeb + Aplicação Financeira</t>
  </si>
  <si>
    <t>Presidente e/ou Membro do Cons. da Educação</t>
  </si>
  <si>
    <t>QUADRO 02-C                                                    MUNICÍPIO:</t>
  </si>
  <si>
    <t>,</t>
  </si>
  <si>
    <t>QUADRO 02-D                                                   MUNICÍPIO:</t>
  </si>
  <si>
    <t>QUADRO 03                  MUNICÍPIO:</t>
  </si>
  <si>
    <t>QUADRO 04               MUNICÍPIO:</t>
  </si>
  <si>
    <t>QUADRO 05     MUNICÍPIO:</t>
  </si>
  <si>
    <t>QUADRO 08                                                       MUNICÍPIO:</t>
  </si>
  <si>
    <t>TOTAL GERAL DOS RECURSOS ADICIONAIS</t>
  </si>
  <si>
    <t>Rendimentos de Aplicação Financeira</t>
  </si>
  <si>
    <t>C)</t>
  </si>
  <si>
    <t>D)</t>
  </si>
  <si>
    <t>PAGO</t>
  </si>
  <si>
    <t>E)</t>
  </si>
  <si>
    <t>F)</t>
  </si>
  <si>
    <t>Demais Despesas (máximo 40%)</t>
  </si>
  <si>
    <t>APLICAÇÃO NA  MANUTENÇÃO E DESENVOLVIMENTO DO ENSINO</t>
  </si>
  <si>
    <t>TRIMESTRE</t>
  </si>
  <si>
    <t>TOTAL DAS RECEITAS DE IMPOSTOS E TRANSFERÊNCIAS DE IMPOSTOS</t>
  </si>
  <si>
    <t>INSTRUÇÕES PARA O PREENCHIMENTO DAS PLANILHAS</t>
  </si>
  <si>
    <t>Artigo 212 - Constituição Federal/88</t>
  </si>
  <si>
    <t xml:space="preserve">CUIDADO: ESTE BOTÃO APAGA TODOS OS DADOS </t>
  </si>
  <si>
    <t>INFORMADOS NA PLANILHA !</t>
  </si>
  <si>
    <t>Contratação por Tempo Determinado</t>
  </si>
  <si>
    <t>Salário Família</t>
  </si>
  <si>
    <t>3.1.90.11</t>
  </si>
  <si>
    <t>Vencimentos e Vantagens Fixas</t>
  </si>
  <si>
    <t>3.1.90.13</t>
  </si>
  <si>
    <t>Obrigações Patronais</t>
  </si>
  <si>
    <t>3.1.90.16</t>
  </si>
  <si>
    <t>TOTAL DAS RECEITAS DE IMPOSTOS</t>
  </si>
  <si>
    <t>A) RECEITAS DE IMPOSTOS E TRANSFERÊNCIAS DE IMPOSTOS</t>
  </si>
  <si>
    <t>TOTAL DOS RECURSOS ADICIONAIS</t>
  </si>
  <si>
    <t>3.1.90.04</t>
  </si>
  <si>
    <t>3.1.90.09</t>
  </si>
  <si>
    <t>3.3.90.30</t>
  </si>
  <si>
    <t>Material de Consumo</t>
  </si>
  <si>
    <t>CÓDIGO</t>
  </si>
  <si>
    <t>3.3.90.36</t>
  </si>
  <si>
    <t>Outros Serviços de Terceiros - P. Física</t>
  </si>
  <si>
    <t>Outros Serviços de Terceiros - P. Jurídica</t>
  </si>
  <si>
    <t>3.3.90.39</t>
  </si>
  <si>
    <t>Obras e Instalações</t>
  </si>
  <si>
    <t>Equip.e Mat.Perm.</t>
  </si>
  <si>
    <t>12. 361 - ENSINO FUNDAMENTAL</t>
  </si>
  <si>
    <t>12.366 - EDUCAÇÃO DE JOVENS E ADULTOS</t>
  </si>
  <si>
    <t xml:space="preserve">                           - PÁGINA INICIAL -</t>
  </si>
  <si>
    <t>12. 365 - EDUCAÇÃO INFANTIL</t>
  </si>
  <si>
    <t>12.367 - EDUCAÇÃO ESPECIAL</t>
  </si>
  <si>
    <t>LIQUIDADO ACUMULADO</t>
  </si>
  <si>
    <t>PAGAMENTO ACUMULADO</t>
  </si>
  <si>
    <t>EMPENHADO</t>
  </si>
  <si>
    <t xml:space="preserve">   QUADRO 01-A                                    </t>
  </si>
  <si>
    <t xml:space="preserve">   QUADRO 01-B                                    </t>
  </si>
  <si>
    <t>DEMONSTRATIVO DAS RECEITAS PRÓPRIAS DE MDE E DOS RECURSOS DO FUNDEB</t>
  </si>
  <si>
    <t>DEMONSTRATIVO DOS RECURSOS ADICIONAIS</t>
  </si>
  <si>
    <t>Total Salário Educação</t>
  </si>
  <si>
    <t>SALÁRIO EDUCAÇÃO (QSE)</t>
  </si>
  <si>
    <t>Cota Estadual</t>
  </si>
  <si>
    <t>Transporte Escolar</t>
  </si>
  <si>
    <t>Dinheiro Direto na Escola</t>
  </si>
  <si>
    <t>Total dos Recursos de Convênios</t>
  </si>
  <si>
    <t>C) OPERAÇÕES DE CRÉDITO PARA O ENSINO</t>
  </si>
  <si>
    <t>Recursos Destinados ao Ensino Fundamental</t>
  </si>
  <si>
    <t>Recursos Destinados à Educação Infantil</t>
  </si>
  <si>
    <t>II) DESPESAS REALIZADAS COM RENDIMENTOS DE APLICAÇÃO FINANCEIRA</t>
  </si>
  <si>
    <t>(CONTA LDB - ART. 69, § 5º DA LEI 9.394/96)</t>
  </si>
  <si>
    <t>III) DESPESAS REALIZADAS COM OPERAÇÕES DE CRÉDITO</t>
  </si>
  <si>
    <t>TOTAL DAS DESPESAS C/ RENDIMENTOS APLICAÇÃO</t>
  </si>
  <si>
    <t>TOTAL DAS DESPESAS C/ OPERAÇÕES DE CRÉDITO</t>
  </si>
  <si>
    <t>INCONSISTÊNCIAS</t>
  </si>
  <si>
    <t>QUADRO DA RECEITA</t>
  </si>
  <si>
    <t>Total depositado em conta</t>
  </si>
  <si>
    <t>LIQUIDADO</t>
  </si>
  <si>
    <t>Recursos Destinados à EJA e/ou Educação Especial</t>
  </si>
  <si>
    <t>A) RECURSOS DO QSE, CONVÊNIOS E OUTROS</t>
  </si>
  <si>
    <t>TOTAL DOS RECURSOS QSE, CONVÊNIOS E OUTROS</t>
  </si>
  <si>
    <t>TOTAL DOS RECURSOS DE OPERAÇÕES DE CRÉDITO</t>
  </si>
  <si>
    <t>B) RENDIMENTOS DE APLICAÇÃO FINANCEIRA</t>
  </si>
  <si>
    <t>RECURSOS ADICIONAIS EXCLUÍDOS OS RECURSOS DO FUNDEB</t>
  </si>
  <si>
    <t>2ºTRIMESTRE                          RENDIMENTO ACUMULADO</t>
  </si>
  <si>
    <t>3ºTRIMESTRE                          RENDIMENTO ACUMULADO</t>
  </si>
  <si>
    <t>4ºTRIMESTRE                          RENDIMENTO ACUMULADO</t>
  </si>
  <si>
    <t>Salário Educação - Cota Estadual</t>
  </si>
  <si>
    <t>QUADRO 02-A                                                    MUNICÍPIO:</t>
  </si>
  <si>
    <t>QUADRO 02-B                                                     MUNICÍPIO:</t>
  </si>
  <si>
    <t>2ºTRIMESTRE                          OP ACUMULADO</t>
  </si>
  <si>
    <t>RESUMO</t>
  </si>
  <si>
    <t>3ºTRIMESTRE                          OP ACUMULADO</t>
  </si>
  <si>
    <t>4ºTRIMESTRE                          OP ACUMULADO</t>
  </si>
  <si>
    <t>TRANSPORTE DE ALUNOS</t>
  </si>
  <si>
    <t>JANEIRO</t>
  </si>
  <si>
    <t>FEVEREIRO</t>
  </si>
  <si>
    <t>MARÇO</t>
  </si>
  <si>
    <t>ABRIL</t>
  </si>
  <si>
    <t>MAIO</t>
  </si>
  <si>
    <t>JUNHO</t>
  </si>
  <si>
    <t>JULHO</t>
  </si>
  <si>
    <t>AGOSTO</t>
  </si>
  <si>
    <t>SETEMBRO</t>
  </si>
  <si>
    <t>OUTUBRO</t>
  </si>
  <si>
    <t>NOVEMBRO</t>
  </si>
  <si>
    <t>DEZEMBRO</t>
  </si>
  <si>
    <t>Outras Despesas Variáveis - Pessoal Civil</t>
  </si>
  <si>
    <t xml:space="preserve">   Desoneração de Exportações (LC-87/96)</t>
  </si>
  <si>
    <t>Lei Orgânica Municipal</t>
  </si>
  <si>
    <t xml:space="preserve">REPASSES FINANCEIROS - ARTIGO 69, § 5º, LEI 9.394/96 (L.D.B) </t>
  </si>
  <si>
    <t>TRIBUNAL DE CONTAS DO ESTADO DE SÃO PAULO</t>
  </si>
  <si>
    <t>Fiscalização do Cumprimento do artigo 212 da Constituição Federal</t>
  </si>
  <si>
    <t>Acumulado</t>
  </si>
  <si>
    <t>DESPESAS DO ENSINO</t>
  </si>
  <si>
    <t>RECEITAS ARRECADADAS</t>
  </si>
  <si>
    <t>EXERCÍCIO:</t>
  </si>
  <si>
    <t>12.361 - Ensino Fundamental</t>
  </si>
  <si>
    <t>12.367 - Educação Especial</t>
  </si>
  <si>
    <t>12.365 - Educação Infantil</t>
  </si>
  <si>
    <t>( + )</t>
  </si>
  <si>
    <t>( - )</t>
  </si>
  <si>
    <t>Imposto Predial Territorial Urbano - IPTU</t>
  </si>
  <si>
    <t xml:space="preserve">Imposto s/ Transmissão de Bens Imóveis </t>
  </si>
  <si>
    <t>Imposto s/ Serviços de Qualquer Natureza</t>
  </si>
  <si>
    <t>Imposto de Renda Retido na Fonte</t>
  </si>
  <si>
    <t>Dívida Ativa de Impostos</t>
  </si>
  <si>
    <t>Atualização de Dívida Ativa de Impostos</t>
  </si>
  <si>
    <t>Multa/Juros provenientes de impostos</t>
  </si>
  <si>
    <t xml:space="preserve">Fundo de Participação dos Municípios </t>
  </si>
  <si>
    <t>Imposto Territorial Rural</t>
  </si>
  <si>
    <t>Desoneração de Exportações (LC-87/96)</t>
  </si>
  <si>
    <t>Imposto s/ Circ. de Mercadorias e Serviços</t>
  </si>
  <si>
    <t>Imposto s/ Propriedade de Veículo Automotor</t>
  </si>
  <si>
    <t>Imposto s/ Produto Industrial s/ Exportação</t>
  </si>
  <si>
    <t>TOTAL DA RECEITA ARRECADADA</t>
  </si>
  <si>
    <t>TOTAL DAS RECEITAS DE IMPOSTOS E TRANSFERÊNCIAS</t>
  </si>
  <si>
    <t>( = )</t>
  </si>
  <si>
    <t>Acumulado (R$)</t>
  </si>
  <si>
    <t xml:space="preserve"> Despesas com Profissionais do Magistério (mín.60%)</t>
  </si>
  <si>
    <t>TOTAL GERAL DOS RECURSOS DO FUNDEB APLICADO</t>
  </si>
</sst>
</file>

<file path=xl/styles.xml><?xml version="1.0" encoding="utf-8"?>
<styleSheet xmlns="http://schemas.openxmlformats.org/spreadsheetml/2006/main">
  <numFmts count="64">
    <numFmt numFmtId="5" formatCode="&quot;R$&quot;\ #,##0_);\(&quot;R$&quot;\ #,##0\)"/>
    <numFmt numFmtId="6" formatCode="&quot;R$&quot;\ #,##0_);[Red]\(&quot;R$&quot;\ #,##0\)"/>
    <numFmt numFmtId="7" formatCode="&quot;R$&quot;\ #,##0.00_);\(&quot;R$&quot;\ #,##0.00\)"/>
    <numFmt numFmtId="8" formatCode="&quot;R$&quot;\ #,##0.00_);[Red]\(&quot;R$&quot;\ #,##0.00\)"/>
    <numFmt numFmtId="42" formatCode="_(&quot;R$&quot;\ * #,##0_);_(&quot;R$&quot;\ * \(#,##0\);_(&quot;R$&quot;\ * &quot;-&quot;_);_(@_)"/>
    <numFmt numFmtId="41" formatCode="_(* #,##0_);_(* \(#,##0\);_(* &quot;-&quot;_);_(@_)"/>
    <numFmt numFmtId="44" formatCode="_(&quot;R$&quot;\ * #,##0.00_);_(&quot;R$&quot;\ * \(#,##0.00\);_(&quot;R$&quot;\ * &quot;-&quot;??_);_(@_)"/>
    <numFmt numFmtId="43" formatCode="_(* #,##0.00_);_(* \(#,##0.00\);_(* &quot;-&quot;??_);_(@_)"/>
    <numFmt numFmtId="164" formatCode="&quot;R$&quot;\ #,##0;\-&quot;R$&quot;\ #,##0"/>
    <numFmt numFmtId="165" formatCode="&quot;R$&quot;\ #,##0;[Red]\-&quot;R$&quot;\ #,##0"/>
    <numFmt numFmtId="166" formatCode="&quot;R$&quot;\ #,##0.00;\-&quot;R$&quot;\ #,##0.00"/>
    <numFmt numFmtId="167" formatCode="&quot;R$&quot;\ #,##0.00;[Red]\-&quot;R$&quot;\ #,##0.00"/>
    <numFmt numFmtId="168" formatCode="_-&quot;R$&quot;\ * #,##0_-;\-&quot;R$&quot;\ * #,##0_-;_-&quot;R$&quot;\ * &quot;-&quot;_-;_-@_-"/>
    <numFmt numFmtId="169" formatCode="_-* #,##0_-;\-* #,##0_-;_-* &quot;-&quot;_-;_-@_-"/>
    <numFmt numFmtId="170" formatCode="_-&quot;R$&quot;\ * #,##0.00_-;\-&quot;R$&quot;\ * #,##0.00_-;_-&quot;R$&quot;\ *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R$ &quot;#,##0_);\(&quot;R$ &quot;#,##0\)"/>
    <numFmt numFmtId="179" formatCode="&quot;R$ &quot;#,##0_);[Red]\(&quot;R$ &quot;#,##0\)"/>
    <numFmt numFmtId="180" formatCode="&quot;R$ &quot;#,##0.00_);\(&quot;R$ &quot;#,##0.00\)"/>
    <numFmt numFmtId="181" formatCode="&quot;R$ &quot;#,##0.00_);[Red]\(&quot;R$ &quot;#,##0.00\)"/>
    <numFmt numFmtId="182" formatCode="_(&quot;R$ &quot;* #,##0_);_(&quot;R$ &quot;* \(#,##0\);_(&quot;R$ &quot;* &quot;-&quot;_);_(@_)"/>
    <numFmt numFmtId="183" formatCode="_(&quot;R$ &quot;* #,##0.00_);_(&quot;R$ &quot;* \(#,##0.00\);_(&quot;R$ &quot;* &quot;-&quot;??_);_(@_)"/>
    <numFmt numFmtId="184" formatCode="&quot;R$&quot;#,##0_);\(&quot;R$&quot;#,##0\)"/>
    <numFmt numFmtId="185" formatCode="&quot;R$&quot;#,##0_);[Red]\(&quot;R$&quot;#,##0\)"/>
    <numFmt numFmtId="186" formatCode="&quot;R$&quot;#,##0.00_);\(&quot;R$&quot;#,##0.00\)"/>
    <numFmt numFmtId="187" formatCode="&quot;R$&quot;#,##0.00_);[Red]\(&quot;R$&quot;#,##0.00\)"/>
    <numFmt numFmtId="188" formatCode="_(&quot;R$&quot;* #,##0_);_(&quot;R$&quot;* \(#,##0\);_(&quot;R$&quot;* &quot;-&quot;_);_(@_)"/>
    <numFmt numFmtId="189" formatCode="_(&quot;R$&quot;* #,##0.00_);_(&quot;R$&quot;* \(#,##0.00\);_(&quot;R$&quot;* &quot;-&quot;??_);_(@_)"/>
    <numFmt numFmtId="190" formatCode="&quot;$&quot;#,##0_);\(&quot;$&quot;#,##0\)"/>
    <numFmt numFmtId="191" formatCode="&quot;$&quot;#,##0_);[Red]\(&quot;$&quot;#,##0\)"/>
    <numFmt numFmtId="192" formatCode="&quot;$&quot;#,##0.00_);\(&quot;$&quot;#,##0.00\)"/>
    <numFmt numFmtId="193" formatCode="&quot;$&quot;#,##0.00_);[Red]\(&quot;$&quot;#,##0.00\)"/>
    <numFmt numFmtId="194" formatCode="_(&quot;$&quot;* #,##0_);_(&quot;$&quot;* \(#,##0\);_(&quot;$&quot;* &quot;-&quot;_);_(@_)"/>
    <numFmt numFmtId="195" formatCode="_(&quot;$&quot;* #,##0.00_);_(&quot;$&quot;* \(#,##0.00\);_(&quot;$&quot;* &quot;-&quot;??_);_(@_)"/>
    <numFmt numFmtId="196" formatCode="&quot;R$&quot;#,##0.00;[Red]&quot;R$&quot;#,##0.00"/>
    <numFmt numFmtId="197" formatCode="0.00;[Red]0.00"/>
    <numFmt numFmtId="198" formatCode="#,##0.00;[Red]#,##0.00"/>
    <numFmt numFmtId="199" formatCode="0.0%"/>
    <numFmt numFmtId="200" formatCode="_(&quot;R$&quot;* #,##0.000_);_(&quot;R$&quot;* \(#,##0.000\);_(&quot;R$&quot;* &quot;-&quot;??_);_(@_)"/>
    <numFmt numFmtId="201" formatCode="_(&quot;R$&quot;* #,##0.0000_);_(&quot;R$&quot;* \(#,##0.0000\);_(&quot;R$&quot;* &quot;-&quot;??_);_(@_)"/>
    <numFmt numFmtId="202" formatCode="#,##0.000_);\(#,##0.000\)"/>
    <numFmt numFmtId="203" formatCode="#,##0.0000_);\(#,##0.0000\)"/>
    <numFmt numFmtId="204" formatCode="0.0"/>
    <numFmt numFmtId="205" formatCode="0.000"/>
    <numFmt numFmtId="206" formatCode="0.0000000"/>
    <numFmt numFmtId="207" formatCode="0.000000"/>
    <numFmt numFmtId="208" formatCode="0.00000"/>
    <numFmt numFmtId="209" formatCode="0.0000"/>
    <numFmt numFmtId="210" formatCode="0.0000000000"/>
    <numFmt numFmtId="211" formatCode="0.000000000"/>
    <numFmt numFmtId="212" formatCode="0.00000000"/>
    <numFmt numFmtId="213" formatCode="&quot;R$ &quot;#,##0.00"/>
    <numFmt numFmtId="214" formatCode="_(&quot;R$&quot;* #,##0.0_);_(&quot;R$&quot;* \(#,##0.0\);_(&quot;R$&quot;* &quot;-&quot;??_);_(@_)"/>
    <numFmt numFmtId="215" formatCode="_(&quot;R$&quot;* #,##0_);_(&quot;R$&quot;* \(#,##0\);_(&quot;R$&quot;* &quot;-&quot;??_);_(@_)"/>
    <numFmt numFmtId="216" formatCode="d\ mmmm\,\ yyyy"/>
    <numFmt numFmtId="217" formatCode=";;;"/>
    <numFmt numFmtId="218" formatCode="0.00_);\(0.00\)"/>
    <numFmt numFmtId="219" formatCode="0_);\(0\)"/>
  </numFmts>
  <fonts count="112">
    <font>
      <sz val="10"/>
      <name val="Arial"/>
      <family val="0"/>
    </font>
    <font>
      <sz val="12"/>
      <name val="Times New Roman"/>
      <family val="1"/>
    </font>
    <font>
      <b/>
      <sz val="12"/>
      <name val="Times New Roman"/>
      <family val="1"/>
    </font>
    <font>
      <sz val="10"/>
      <name val="Times New Roman"/>
      <family val="1"/>
    </font>
    <font>
      <b/>
      <sz val="10"/>
      <color indexed="18"/>
      <name val="Times New Roman"/>
      <family val="1"/>
    </font>
    <font>
      <b/>
      <sz val="12"/>
      <color indexed="18"/>
      <name val="Times New Roman"/>
      <family val="1"/>
    </font>
    <font>
      <b/>
      <sz val="10"/>
      <name val="Times New Roman"/>
      <family val="1"/>
    </font>
    <font>
      <b/>
      <i/>
      <sz val="10"/>
      <name val="Times New Roman"/>
      <family val="1"/>
    </font>
    <font>
      <b/>
      <u val="single"/>
      <sz val="12"/>
      <name val="Times New Roman"/>
      <family val="1"/>
    </font>
    <font>
      <sz val="11"/>
      <name val="Times New Roman"/>
      <family val="1"/>
    </font>
    <font>
      <b/>
      <sz val="11"/>
      <name val="Times New Roman"/>
      <family val="1"/>
    </font>
    <font>
      <b/>
      <i/>
      <sz val="10"/>
      <name val="Arial"/>
      <family val="2"/>
    </font>
    <font>
      <sz val="20"/>
      <name val="Arial"/>
      <family val="2"/>
    </font>
    <font>
      <b/>
      <i/>
      <sz val="20"/>
      <name val="Arial"/>
      <family val="2"/>
    </font>
    <font>
      <i/>
      <sz val="9"/>
      <name val="Arial"/>
      <family val="2"/>
    </font>
    <font>
      <u val="single"/>
      <sz val="10"/>
      <color indexed="12"/>
      <name val="Arial"/>
      <family val="2"/>
    </font>
    <font>
      <u val="single"/>
      <sz val="10"/>
      <color indexed="36"/>
      <name val="Arial"/>
      <family val="2"/>
    </font>
    <font>
      <b/>
      <i/>
      <sz val="9"/>
      <name val="Arial"/>
      <family val="2"/>
    </font>
    <font>
      <b/>
      <sz val="10"/>
      <color indexed="10"/>
      <name val="Times New Roman"/>
      <family val="1"/>
    </font>
    <font>
      <sz val="11"/>
      <name val="Arial"/>
      <family val="2"/>
    </font>
    <font>
      <b/>
      <sz val="11"/>
      <name val="Arial"/>
      <family val="2"/>
    </font>
    <font>
      <b/>
      <sz val="14"/>
      <color indexed="60"/>
      <name val="Times New Roman"/>
      <family val="1"/>
    </font>
    <font>
      <b/>
      <sz val="10"/>
      <name val="Arial"/>
      <family val="2"/>
    </font>
    <font>
      <b/>
      <sz val="16"/>
      <name val="Arial"/>
      <family val="2"/>
    </font>
    <font>
      <sz val="13"/>
      <name val="Times New Roman"/>
      <family val="1"/>
    </font>
    <font>
      <b/>
      <sz val="13"/>
      <name val="Times New Roman"/>
      <family val="1"/>
    </font>
    <font>
      <b/>
      <u val="single"/>
      <sz val="13"/>
      <name val="Times New Roman"/>
      <family val="1"/>
    </font>
    <font>
      <u val="single"/>
      <sz val="13"/>
      <name val="Times New Roman"/>
      <family val="1"/>
    </font>
    <font>
      <sz val="8"/>
      <name val="Tahoma"/>
      <family val="2"/>
    </font>
    <font>
      <b/>
      <sz val="8"/>
      <name val="Tahoma"/>
      <family val="2"/>
    </font>
    <font>
      <sz val="12"/>
      <name val="Arial"/>
      <family val="2"/>
    </font>
    <font>
      <b/>
      <sz val="12"/>
      <name val="Arial"/>
      <family val="2"/>
    </font>
    <font>
      <b/>
      <sz val="14"/>
      <name val="Arial"/>
      <family val="2"/>
    </font>
    <font>
      <b/>
      <u val="single"/>
      <sz val="11"/>
      <name val="Arial"/>
      <family val="2"/>
    </font>
    <font>
      <u val="single"/>
      <sz val="11"/>
      <name val="Arial"/>
      <family val="2"/>
    </font>
    <font>
      <b/>
      <u val="single"/>
      <sz val="12"/>
      <name val="Arial"/>
      <family val="2"/>
    </font>
    <font>
      <b/>
      <i/>
      <sz val="12"/>
      <name val="Arial"/>
      <family val="2"/>
    </font>
    <font>
      <sz val="12"/>
      <color indexed="10"/>
      <name val="Arial"/>
      <family val="2"/>
    </font>
    <font>
      <sz val="9"/>
      <name val="Arial"/>
      <family val="2"/>
    </font>
    <font>
      <sz val="16"/>
      <name val="Arial"/>
      <family val="2"/>
    </font>
    <font>
      <b/>
      <sz val="9"/>
      <name val="Arial"/>
      <family val="2"/>
    </font>
    <font>
      <b/>
      <u val="single"/>
      <sz val="16"/>
      <name val="Arial"/>
      <family val="2"/>
    </font>
    <font>
      <sz val="14"/>
      <name val="Arial"/>
      <family val="2"/>
    </font>
    <font>
      <b/>
      <sz val="11"/>
      <color indexed="10"/>
      <name val="Arial"/>
      <family val="2"/>
    </font>
    <font>
      <sz val="10"/>
      <color indexed="10"/>
      <name val="Arial"/>
      <family val="2"/>
    </font>
    <font>
      <sz val="8"/>
      <name val="Arial"/>
      <family val="2"/>
    </font>
    <font>
      <b/>
      <sz val="8"/>
      <name val="Arial"/>
      <family val="2"/>
    </font>
    <font>
      <b/>
      <sz val="17"/>
      <name val="Arial"/>
      <family val="2"/>
    </font>
    <font>
      <b/>
      <u val="single"/>
      <sz val="10"/>
      <color indexed="18"/>
      <name val="Arial"/>
      <family val="2"/>
    </font>
    <font>
      <b/>
      <sz val="18"/>
      <color indexed="18"/>
      <name val="Arial"/>
      <family val="2"/>
    </font>
    <font>
      <b/>
      <sz val="14"/>
      <color indexed="18"/>
      <name val="Arial"/>
      <family val="2"/>
    </font>
    <font>
      <b/>
      <i/>
      <sz val="18"/>
      <color indexed="20"/>
      <name val="Arial"/>
      <family val="2"/>
    </font>
    <font>
      <b/>
      <u val="single"/>
      <sz val="15"/>
      <color indexed="18"/>
      <name val="Arial"/>
      <family val="2"/>
    </font>
    <font>
      <sz val="12"/>
      <color indexed="18"/>
      <name val="Arial"/>
      <family val="2"/>
    </font>
    <font>
      <b/>
      <i/>
      <sz val="16"/>
      <color indexed="56"/>
      <name val="Arial"/>
      <family val="2"/>
    </font>
    <font>
      <b/>
      <sz val="11"/>
      <color indexed="18"/>
      <name val="Arial"/>
      <family val="2"/>
    </font>
    <font>
      <b/>
      <sz val="12"/>
      <color indexed="18"/>
      <name val="Arial"/>
      <family val="2"/>
    </font>
    <font>
      <b/>
      <i/>
      <sz val="11"/>
      <color indexed="18"/>
      <name val="Arial"/>
      <family val="2"/>
    </font>
    <font>
      <b/>
      <i/>
      <sz val="16"/>
      <color indexed="20"/>
      <name val="Arial"/>
      <family val="2"/>
    </font>
    <font>
      <b/>
      <i/>
      <sz val="14"/>
      <color indexed="56"/>
      <name val="Arial"/>
      <family val="2"/>
    </font>
    <font>
      <b/>
      <i/>
      <sz val="9"/>
      <color indexed="18"/>
      <name val="Arial"/>
      <family val="2"/>
    </font>
    <font>
      <b/>
      <sz val="12"/>
      <color indexed="16"/>
      <name val="Arial"/>
      <family val="2"/>
    </font>
    <font>
      <b/>
      <i/>
      <sz val="12"/>
      <color indexed="56"/>
      <name val="Arial"/>
      <family val="2"/>
    </font>
    <font>
      <sz val="11"/>
      <color indexed="18"/>
      <name val="Arial"/>
      <family val="2"/>
    </font>
    <font>
      <b/>
      <i/>
      <sz val="11"/>
      <color indexed="56"/>
      <name val="Arial"/>
      <family val="2"/>
    </font>
    <font>
      <b/>
      <sz val="11"/>
      <color indexed="10"/>
      <name val="Times New Roman"/>
      <family val="1"/>
    </font>
    <font>
      <b/>
      <sz val="11"/>
      <color indexed="32"/>
      <name val="Arial"/>
      <family val="2"/>
    </font>
    <font>
      <sz val="10"/>
      <color indexed="32"/>
      <name val="Arial"/>
      <family val="2"/>
    </font>
    <font>
      <sz val="10"/>
      <color indexed="18"/>
      <name val="Arial"/>
      <family val="2"/>
    </font>
    <font>
      <b/>
      <i/>
      <sz val="18"/>
      <color indexed="18"/>
      <name val="Arial"/>
      <family val="2"/>
    </font>
    <font>
      <b/>
      <i/>
      <sz val="14"/>
      <color indexed="16"/>
      <name val="Arial"/>
      <family val="2"/>
    </font>
    <font>
      <b/>
      <i/>
      <sz val="14"/>
      <color indexed="20"/>
      <name val="Arial"/>
      <family val="2"/>
    </font>
    <font>
      <b/>
      <sz val="13"/>
      <color indexed="18"/>
      <name val="Arial"/>
      <family val="2"/>
    </font>
    <font>
      <sz val="12"/>
      <color indexed="16"/>
      <name val="Arial"/>
      <family val="2"/>
    </font>
    <font>
      <b/>
      <i/>
      <sz val="12"/>
      <color indexed="18"/>
      <name val="Arial"/>
      <family val="2"/>
    </font>
    <font>
      <b/>
      <i/>
      <sz val="7"/>
      <color indexed="18"/>
      <name val="Arial"/>
      <family val="2"/>
    </font>
    <font>
      <b/>
      <sz val="14"/>
      <color indexed="16"/>
      <name val="Arial"/>
      <family val="2"/>
    </font>
    <font>
      <b/>
      <sz val="12"/>
      <color indexed="10"/>
      <name val="Times New Roman"/>
      <family val="1"/>
    </font>
    <font>
      <b/>
      <sz val="13"/>
      <color indexed="10"/>
      <name val="Arial"/>
      <family val="2"/>
    </font>
    <font>
      <b/>
      <sz val="18"/>
      <color indexed="10"/>
      <name val="Arial"/>
      <family val="2"/>
    </font>
    <font>
      <b/>
      <sz val="12"/>
      <color indexed="10"/>
      <name val="Arial"/>
      <family val="2"/>
    </font>
    <font>
      <b/>
      <i/>
      <sz val="20"/>
      <color indexed="10"/>
      <name val="Arial"/>
      <family val="2"/>
    </font>
    <font>
      <b/>
      <sz val="12"/>
      <color indexed="17"/>
      <name val="Times New Roman"/>
      <family val="1"/>
    </font>
    <font>
      <b/>
      <sz val="13"/>
      <color indexed="17"/>
      <name val="Arial"/>
      <family val="2"/>
    </font>
    <font>
      <b/>
      <sz val="13"/>
      <color indexed="10"/>
      <name val="Times New Roman"/>
      <family val="1"/>
    </font>
    <font>
      <b/>
      <sz val="13"/>
      <color indexed="17"/>
      <name val="Times New Roman"/>
      <family val="1"/>
    </font>
    <font>
      <b/>
      <sz val="13"/>
      <color indexed="18"/>
      <name val="Times New Roman"/>
      <family val="1"/>
    </font>
    <font>
      <sz val="11"/>
      <color indexed="10"/>
      <name val="Arial"/>
      <family val="2"/>
    </font>
    <font>
      <sz val="13"/>
      <color indexed="10"/>
      <name val="Times New Roman"/>
      <family val="1"/>
    </font>
    <font>
      <sz val="13"/>
      <color indexed="18"/>
      <name val="Times New Roman"/>
      <family val="1"/>
    </font>
    <font>
      <b/>
      <sz val="13"/>
      <color indexed="58"/>
      <name val="Times New Roman"/>
      <family val="1"/>
    </font>
    <font>
      <sz val="13"/>
      <color indexed="58"/>
      <name val="Times New Roman"/>
      <family val="1"/>
    </font>
    <font>
      <i/>
      <sz val="10"/>
      <name val="Arial"/>
      <family val="2"/>
    </font>
    <font>
      <sz val="9.5"/>
      <color indexed="8"/>
      <name val="Arial"/>
      <family val="2"/>
    </font>
    <font>
      <sz val="8"/>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lightUp">
        <fgColor indexed="22"/>
      </patternFill>
    </fill>
    <fill>
      <patternFill patternType="gray125">
        <fgColor indexed="53"/>
        <bgColor indexed="26"/>
      </patternFill>
    </fill>
    <fill>
      <patternFill patternType="gray125">
        <fgColor indexed="52"/>
        <bgColor indexed="26"/>
      </patternFill>
    </fill>
    <fill>
      <patternFill patternType="gray125">
        <fgColor indexed="52"/>
        <bgColor indexed="18"/>
      </patternFill>
    </fill>
    <fill>
      <patternFill patternType="gray125">
        <fgColor indexed="53"/>
        <bgColor indexed="18"/>
      </patternFill>
    </fill>
    <fill>
      <patternFill patternType="solid">
        <fgColor indexed="26"/>
        <bgColor indexed="64"/>
      </patternFill>
    </fill>
    <fill>
      <patternFill patternType="solid">
        <fgColor indexed="26"/>
        <bgColor indexed="64"/>
      </patternFill>
    </fill>
    <fill>
      <patternFill patternType="gray125">
        <fgColor indexed="26"/>
        <bgColor indexed="26"/>
      </patternFill>
    </fill>
    <fill>
      <patternFill patternType="lightUp">
        <bgColor indexed="9"/>
      </patternFill>
    </fill>
  </fills>
  <borders count="9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color indexed="63"/>
      </left>
      <right>
        <color indexed="63"/>
      </right>
      <top>
        <color indexed="63"/>
      </top>
      <bottom style="medium"/>
    </border>
    <border>
      <left>
        <color indexed="63"/>
      </left>
      <right style="medium"/>
      <top>
        <color indexed="63"/>
      </top>
      <bottom style="medium"/>
    </border>
    <border>
      <left>
        <color indexed="63"/>
      </left>
      <right style="thin"/>
      <top>
        <color indexed="63"/>
      </top>
      <bottom>
        <color indexed="63"/>
      </bottom>
    </border>
    <border>
      <left style="medium"/>
      <right>
        <color indexed="63"/>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style="thin"/>
      <right style="thin"/>
      <top style="medium"/>
      <bottom style="medium"/>
    </border>
    <border>
      <left style="thin"/>
      <right style="thin"/>
      <top style="thin"/>
      <bottom style="thin"/>
    </border>
    <border>
      <left>
        <color indexed="63"/>
      </left>
      <right style="medium"/>
      <top style="medium"/>
      <bottom>
        <color indexed="63"/>
      </bottom>
    </border>
    <border>
      <left style="thin"/>
      <right style="medium"/>
      <top style="thin"/>
      <bottom style="thin"/>
    </border>
    <border>
      <left>
        <color indexed="63"/>
      </left>
      <right style="medium"/>
      <top>
        <color indexed="63"/>
      </top>
      <bottom>
        <color indexed="63"/>
      </bottom>
    </border>
    <border>
      <left style="thin"/>
      <right style="medium"/>
      <top style="medium"/>
      <bottom style="medium"/>
    </border>
    <border>
      <left>
        <color indexed="63"/>
      </left>
      <right style="thin"/>
      <top style="thin"/>
      <bottom style="thin"/>
    </border>
    <border>
      <left style="medium"/>
      <right>
        <color indexed="63"/>
      </right>
      <top>
        <color indexed="63"/>
      </top>
      <bottom style="medium"/>
    </border>
    <border>
      <left style="thin"/>
      <right style="thin"/>
      <top style="thin"/>
      <bottom style="medium"/>
    </border>
    <border>
      <left style="thin"/>
      <right style="thin"/>
      <top style="medium"/>
      <bottom style="thin"/>
    </border>
    <border>
      <left style="medium"/>
      <right style="thin"/>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thin"/>
    </border>
    <border>
      <left style="thin"/>
      <right style="thin"/>
      <top style="medium"/>
      <bottom>
        <color indexed="63"/>
      </bottom>
    </border>
    <border>
      <left>
        <color indexed="63"/>
      </left>
      <right style="thin"/>
      <top style="medium"/>
      <bottom style="medium"/>
    </border>
    <border>
      <left style="medium"/>
      <right>
        <color indexed="63"/>
      </right>
      <top style="medium"/>
      <bottom style="medium"/>
    </border>
    <border>
      <left style="thin"/>
      <right style="thin"/>
      <top style="thin"/>
      <bottom>
        <color indexed="63"/>
      </bottom>
    </border>
    <border>
      <left style="thin"/>
      <right style="thin"/>
      <top>
        <color indexed="63"/>
      </top>
      <bottom>
        <color indexed="63"/>
      </bottom>
    </border>
    <border>
      <left style="thin"/>
      <right>
        <color indexed="63"/>
      </right>
      <top>
        <color indexed="63"/>
      </top>
      <bottom>
        <color indexed="63"/>
      </bottom>
    </border>
    <border>
      <left style="medium"/>
      <right>
        <color indexed="63"/>
      </right>
      <top style="thin"/>
      <bottom>
        <color indexed="63"/>
      </bottom>
    </border>
    <border>
      <left style="medium"/>
      <right style="thin"/>
      <top style="thin"/>
      <bottom>
        <color indexed="63"/>
      </bottom>
    </border>
    <border>
      <left>
        <color indexed="63"/>
      </left>
      <right style="medium"/>
      <top style="medium"/>
      <bottom style="medium"/>
    </border>
    <border>
      <left style="medium"/>
      <right style="thin"/>
      <top style="medium"/>
      <bottom>
        <color indexed="63"/>
      </bottom>
    </border>
    <border>
      <left>
        <color indexed="63"/>
      </left>
      <right style="thin"/>
      <top style="medium"/>
      <bottom style="thin"/>
    </border>
    <border>
      <left style="thin"/>
      <right style="medium"/>
      <top style="thin"/>
      <bottom>
        <color indexed="63"/>
      </bottom>
    </border>
    <border>
      <left style="thin"/>
      <right style="thin"/>
      <top>
        <color indexed="63"/>
      </top>
      <bottom style="medium"/>
    </border>
    <border>
      <left>
        <color indexed="63"/>
      </left>
      <right>
        <color indexed="63"/>
      </right>
      <top style="medium"/>
      <bottom style="medium"/>
    </border>
    <border>
      <left>
        <color indexed="63"/>
      </left>
      <right style="thin"/>
      <top style="thin"/>
      <bottom>
        <color indexed="63"/>
      </bottom>
    </border>
    <border>
      <left>
        <color indexed="63"/>
      </left>
      <right>
        <color indexed="63"/>
      </right>
      <top style="thin"/>
      <bottom style="medium"/>
    </border>
    <border>
      <left style="thin"/>
      <right style="medium"/>
      <top style="medium"/>
      <bottom>
        <color indexed="63"/>
      </bottom>
    </border>
    <border>
      <left style="medium"/>
      <right>
        <color indexed="63"/>
      </right>
      <top style="thin"/>
      <bottom style="thin"/>
    </border>
    <border>
      <left style="medium"/>
      <right>
        <color indexed="63"/>
      </right>
      <top>
        <color indexed="63"/>
      </top>
      <bottom style="thin"/>
    </border>
    <border>
      <left style="thin"/>
      <right style="medium"/>
      <top>
        <color indexed="63"/>
      </top>
      <bottom>
        <color indexed="63"/>
      </bottom>
    </border>
    <border>
      <left style="medium"/>
      <right style="medium"/>
      <top>
        <color indexed="63"/>
      </top>
      <bottom style="medium"/>
    </border>
    <border>
      <left>
        <color indexed="63"/>
      </left>
      <right style="thin"/>
      <top>
        <color indexed="63"/>
      </top>
      <bottom style="medium"/>
    </border>
    <border>
      <left style="thin"/>
      <right style="medium"/>
      <top style="medium"/>
      <bottom style="thin"/>
    </border>
    <border>
      <left style="medium"/>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double"/>
      <bottom>
        <color indexed="63"/>
      </bottom>
    </border>
    <border>
      <left style="thin"/>
      <right style="thin">
        <color indexed="18"/>
      </right>
      <top>
        <color indexed="63"/>
      </top>
      <bottom style="thin">
        <color indexed="18"/>
      </bottom>
    </border>
    <border>
      <left>
        <color indexed="63"/>
      </left>
      <right>
        <color indexed="63"/>
      </right>
      <top style="double"/>
      <bottom style="thin"/>
    </border>
    <border>
      <left>
        <color indexed="63"/>
      </left>
      <right style="double"/>
      <top style="double"/>
      <bottom>
        <color indexed="63"/>
      </bottom>
    </border>
    <border>
      <left style="thin"/>
      <right style="double"/>
      <top style="thin"/>
      <bottom style="thin"/>
    </border>
    <border>
      <left style="thin"/>
      <right style="double"/>
      <top style="thin"/>
      <bottom style="double"/>
    </border>
    <border>
      <left style="medium"/>
      <right>
        <color indexed="63"/>
      </right>
      <top style="thin"/>
      <bottom style="medium"/>
    </border>
    <border>
      <left>
        <color indexed="63"/>
      </left>
      <right style="double"/>
      <top style="thin"/>
      <bottom style="double"/>
    </border>
    <border>
      <left style="double"/>
      <right>
        <color indexed="63"/>
      </right>
      <top style="double"/>
      <bottom>
        <color indexed="63"/>
      </bottom>
    </border>
    <border>
      <left>
        <color indexed="63"/>
      </left>
      <right style="thin"/>
      <top style="thin"/>
      <bottom style="double"/>
    </border>
    <border>
      <left style="double"/>
      <right style="thin"/>
      <top style="thin"/>
      <bottom style="double"/>
    </border>
    <border>
      <left style="thin"/>
      <right style="thin"/>
      <top style="thin"/>
      <bottom style="double"/>
    </border>
    <border>
      <left style="double"/>
      <right style="thin"/>
      <top style="thin"/>
      <bottom style="thin"/>
    </border>
    <border>
      <left style="double"/>
      <right>
        <color indexed="63"/>
      </right>
      <top style="thin"/>
      <bottom style="double"/>
    </border>
    <border>
      <left>
        <color indexed="63"/>
      </left>
      <right>
        <color indexed="63"/>
      </right>
      <top style="thin"/>
      <bottom style="double"/>
    </border>
    <border>
      <left style="thin"/>
      <right style="double"/>
      <top style="double"/>
      <bottom style="thin"/>
    </border>
    <border>
      <left style="double"/>
      <right style="thin"/>
      <top style="double"/>
      <bottom style="thin"/>
    </border>
    <border>
      <left style="thin"/>
      <right style="thin"/>
      <top style="double"/>
      <bottom style="thin"/>
    </border>
    <border>
      <left style="thin"/>
      <right>
        <color indexed="63"/>
      </right>
      <top style="thin"/>
      <bottom style="double"/>
    </border>
    <border>
      <left style="thin"/>
      <right>
        <color indexed="63"/>
      </right>
      <top style="medium"/>
      <bottom style="medium"/>
    </border>
    <border>
      <left>
        <color indexed="63"/>
      </left>
      <right style="thin"/>
      <top style="medium"/>
      <bottom>
        <color indexed="63"/>
      </bottom>
    </border>
    <border>
      <left style="thin"/>
      <right>
        <color indexed="63"/>
      </right>
      <top>
        <color indexed="63"/>
      </top>
      <bottom style="medium"/>
    </border>
    <border>
      <left style="thin"/>
      <right style="medium"/>
      <top style="thin"/>
      <bottom style="medium"/>
    </border>
    <border>
      <left style="medium"/>
      <right style="thin"/>
      <top style="medium"/>
      <bottom style="thin"/>
    </border>
    <border>
      <left style="thin"/>
      <right>
        <color indexed="63"/>
      </right>
      <top style="medium"/>
      <bottom style="thin"/>
    </border>
    <border>
      <left style="medium"/>
      <right style="thin"/>
      <top>
        <color indexed="63"/>
      </top>
      <bottom>
        <color indexed="63"/>
      </bottom>
    </border>
    <border>
      <left style="medium"/>
      <right style="thin"/>
      <top style="thin"/>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color indexed="63"/>
      </top>
      <bottom style="thin"/>
    </border>
    <border>
      <left style="medium"/>
      <right style="medium"/>
      <top>
        <color indexed="63"/>
      </top>
      <bottom>
        <color indexed="63"/>
      </bottom>
    </border>
    <border>
      <left style="thin"/>
      <right>
        <color indexed="63"/>
      </right>
      <top style="thin"/>
      <bottom style="medium"/>
    </border>
    <border>
      <left>
        <color indexed="63"/>
      </left>
      <right style="thin"/>
      <top style="thin"/>
      <bottom style="medium"/>
    </border>
    <border>
      <left>
        <color indexed="63"/>
      </left>
      <right>
        <color indexed="63"/>
      </right>
      <top style="thin"/>
      <bottom style="thin"/>
    </border>
    <border>
      <left>
        <color indexed="63"/>
      </left>
      <right>
        <color indexed="63"/>
      </right>
      <top style="medium"/>
      <bottom style="thin"/>
    </border>
    <border>
      <left>
        <color indexed="63"/>
      </left>
      <right style="medium"/>
      <top>
        <color indexed="63"/>
      </top>
      <bottom style="thin"/>
    </border>
    <border>
      <left style="thin"/>
      <right>
        <color indexed="63"/>
      </right>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5" fillId="2" borderId="0" applyNumberFormat="0" applyBorder="0" applyAlignment="0" applyProtection="0"/>
    <xf numFmtId="0" fontId="95" fillId="3" borderId="0" applyNumberFormat="0" applyBorder="0" applyAlignment="0" applyProtection="0"/>
    <xf numFmtId="0" fontId="95" fillId="4" borderId="0" applyNumberFormat="0" applyBorder="0" applyAlignment="0" applyProtection="0"/>
    <xf numFmtId="0" fontId="95" fillId="5" borderId="0" applyNumberFormat="0" applyBorder="0" applyAlignment="0" applyProtection="0"/>
    <xf numFmtId="0" fontId="95" fillId="6" borderId="0" applyNumberFormat="0" applyBorder="0" applyAlignment="0" applyProtection="0"/>
    <xf numFmtId="0" fontId="95" fillId="7" borderId="0" applyNumberFormat="0" applyBorder="0" applyAlignment="0" applyProtection="0"/>
    <xf numFmtId="0" fontId="95" fillId="8" borderId="0" applyNumberFormat="0" applyBorder="0" applyAlignment="0" applyProtection="0"/>
    <xf numFmtId="0" fontId="95" fillId="9" borderId="0" applyNumberFormat="0" applyBorder="0" applyAlignment="0" applyProtection="0"/>
    <xf numFmtId="0" fontId="95" fillId="10" borderId="0" applyNumberFormat="0" applyBorder="0" applyAlignment="0" applyProtection="0"/>
    <xf numFmtId="0" fontId="95" fillId="5" borderId="0" applyNumberFormat="0" applyBorder="0" applyAlignment="0" applyProtection="0"/>
    <xf numFmtId="0" fontId="95" fillId="8" borderId="0" applyNumberFormat="0" applyBorder="0" applyAlignment="0" applyProtection="0"/>
    <xf numFmtId="0" fontId="95" fillId="11" borderId="0" applyNumberFormat="0" applyBorder="0" applyAlignment="0" applyProtection="0"/>
    <xf numFmtId="0" fontId="96" fillId="12" borderId="0" applyNumberFormat="0" applyBorder="0" applyAlignment="0" applyProtection="0"/>
    <xf numFmtId="0" fontId="96" fillId="9" borderId="0" applyNumberFormat="0" applyBorder="0" applyAlignment="0" applyProtection="0"/>
    <xf numFmtId="0" fontId="96" fillId="10" borderId="0" applyNumberFormat="0" applyBorder="0" applyAlignment="0" applyProtection="0"/>
    <xf numFmtId="0" fontId="96" fillId="13" borderId="0" applyNumberFormat="0" applyBorder="0" applyAlignment="0" applyProtection="0"/>
    <xf numFmtId="0" fontId="96" fillId="14" borderId="0" applyNumberFormat="0" applyBorder="0" applyAlignment="0" applyProtection="0"/>
    <xf numFmtId="0" fontId="96" fillId="15" borderId="0" applyNumberFormat="0" applyBorder="0" applyAlignment="0" applyProtection="0"/>
    <xf numFmtId="0" fontId="97" fillId="4" borderId="0" applyNumberFormat="0" applyBorder="0" applyAlignment="0" applyProtection="0"/>
    <xf numFmtId="0" fontId="98" fillId="16" borderId="1" applyNumberFormat="0" applyAlignment="0" applyProtection="0"/>
    <xf numFmtId="0" fontId="99" fillId="17" borderId="2" applyNumberFormat="0" applyAlignment="0" applyProtection="0"/>
    <xf numFmtId="0" fontId="100" fillId="0" borderId="3" applyNumberFormat="0" applyFill="0" applyAlignment="0" applyProtection="0"/>
    <xf numFmtId="0" fontId="96" fillId="18" borderId="0" applyNumberFormat="0" applyBorder="0" applyAlignment="0" applyProtection="0"/>
    <xf numFmtId="0" fontId="96" fillId="19" borderId="0" applyNumberFormat="0" applyBorder="0" applyAlignment="0" applyProtection="0"/>
    <xf numFmtId="0" fontId="96" fillId="20" borderId="0" applyNumberFormat="0" applyBorder="0" applyAlignment="0" applyProtection="0"/>
    <xf numFmtId="0" fontId="96" fillId="13" borderId="0" applyNumberFormat="0" applyBorder="0" applyAlignment="0" applyProtection="0"/>
    <xf numFmtId="0" fontId="96" fillId="14" borderId="0" applyNumberFormat="0" applyBorder="0" applyAlignment="0" applyProtection="0"/>
    <xf numFmtId="0" fontId="96" fillId="21" borderId="0" applyNumberFormat="0" applyBorder="0" applyAlignment="0" applyProtection="0"/>
    <xf numFmtId="0" fontId="101" fillId="7" borderId="1" applyNumberFormat="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02" fillId="3" borderId="0" applyNumberFormat="0" applyBorder="0" applyAlignment="0" applyProtection="0"/>
    <xf numFmtId="189" fontId="0" fillId="0" borderId="0" applyFont="0" applyFill="0" applyBorder="0" applyAlignment="0" applyProtection="0"/>
    <xf numFmtId="188" fontId="0" fillId="0" borderId="0" applyFont="0" applyFill="0" applyBorder="0" applyAlignment="0" applyProtection="0"/>
    <xf numFmtId="0" fontId="103" fillId="22" borderId="0" applyNumberFormat="0" applyBorder="0" applyAlignment="0" applyProtection="0"/>
    <xf numFmtId="0" fontId="0" fillId="23" borderId="4" applyNumberFormat="0" applyFont="0" applyAlignment="0" applyProtection="0"/>
    <xf numFmtId="9" fontId="0" fillId="0" borderId="0" applyFont="0" applyFill="0" applyBorder="0" applyAlignment="0" applyProtection="0"/>
    <xf numFmtId="0" fontId="104" fillId="16"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105" fillId="0" borderId="0" applyNumberFormat="0" applyFill="0" applyBorder="0" applyAlignment="0" applyProtection="0"/>
    <xf numFmtId="0" fontId="106" fillId="0" borderId="0" applyNumberFormat="0" applyFill="0" applyBorder="0" applyAlignment="0" applyProtection="0"/>
    <xf numFmtId="0" fontId="107" fillId="0" borderId="0" applyNumberFormat="0" applyFill="0" applyBorder="0" applyAlignment="0" applyProtection="0"/>
    <xf numFmtId="0" fontId="108" fillId="0" borderId="6" applyNumberFormat="0" applyFill="0" applyAlignment="0" applyProtection="0"/>
    <xf numFmtId="0" fontId="109" fillId="0" borderId="7" applyNumberFormat="0" applyFill="0" applyAlignment="0" applyProtection="0"/>
    <xf numFmtId="0" fontId="110" fillId="0" borderId="8" applyNumberFormat="0" applyFill="0" applyAlignment="0" applyProtection="0"/>
    <xf numFmtId="0" fontId="110" fillId="0" borderId="0" applyNumberFormat="0" applyFill="0" applyBorder="0" applyAlignment="0" applyProtection="0"/>
    <xf numFmtId="0" fontId="111" fillId="0" borderId="9" applyNumberFormat="0" applyFill="0" applyAlignment="0" applyProtection="0"/>
  </cellStyleXfs>
  <cellXfs count="925">
    <xf numFmtId="0" fontId="0" fillId="0" borderId="0" xfId="0" applyAlignment="1">
      <alignment/>
    </xf>
    <xf numFmtId="0" fontId="3" fillId="0" borderId="0" xfId="0" applyFont="1" applyAlignment="1" applyProtection="1">
      <alignment/>
      <protection hidden="1"/>
    </xf>
    <xf numFmtId="0" fontId="3" fillId="0" borderId="0" xfId="0" applyFont="1" applyBorder="1" applyAlignment="1" applyProtection="1">
      <alignment/>
      <protection hidden="1"/>
    </xf>
    <xf numFmtId="49" fontId="3" fillId="0" borderId="0" xfId="0" applyNumberFormat="1" applyFont="1" applyAlignment="1" applyProtection="1">
      <alignment/>
      <protection hidden="1"/>
    </xf>
    <xf numFmtId="0" fontId="1" fillId="0" borderId="0" xfId="0" applyFont="1" applyAlignment="1" applyProtection="1">
      <alignment/>
      <protection hidden="1"/>
    </xf>
    <xf numFmtId="0" fontId="3" fillId="0" borderId="0" xfId="0" applyFont="1" applyAlignment="1" applyProtection="1">
      <alignment horizontal="left"/>
      <protection hidden="1"/>
    </xf>
    <xf numFmtId="0" fontId="0" fillId="0" borderId="0" xfId="0" applyAlignment="1" applyProtection="1">
      <alignment/>
      <protection hidden="1"/>
    </xf>
    <xf numFmtId="0" fontId="7" fillId="0" borderId="0" xfId="0" applyFont="1" applyBorder="1" applyAlignment="1" applyProtection="1">
      <alignment horizontal="right"/>
      <protection hidden="1"/>
    </xf>
    <xf numFmtId="0" fontId="7" fillId="0" borderId="0" xfId="0" applyFont="1" applyFill="1" applyBorder="1" applyAlignment="1" applyProtection="1">
      <alignment horizontal="right"/>
      <protection hidden="1"/>
    </xf>
    <xf numFmtId="0" fontId="7" fillId="0" borderId="0" xfId="0" applyFont="1" applyBorder="1" applyAlignment="1" applyProtection="1">
      <alignment/>
      <protection hidden="1"/>
    </xf>
    <xf numFmtId="0" fontId="11" fillId="0" borderId="0" xfId="0" applyFont="1" applyAlignment="1">
      <alignment/>
    </xf>
    <xf numFmtId="0" fontId="12" fillId="0" borderId="0" xfId="0" applyFont="1" applyAlignment="1">
      <alignment/>
    </xf>
    <xf numFmtId="0" fontId="3" fillId="0" borderId="0" xfId="0" applyFont="1" applyAlignment="1" applyProtection="1">
      <alignment/>
      <protection locked="0"/>
    </xf>
    <xf numFmtId="49" fontId="3" fillId="0" borderId="0" xfId="0" applyNumberFormat="1" applyFont="1" applyBorder="1" applyAlignment="1" applyProtection="1">
      <alignment horizontal="left"/>
      <protection locked="0"/>
    </xf>
    <xf numFmtId="49" fontId="3" fillId="0" borderId="0" xfId="0" applyNumberFormat="1" applyFont="1" applyFill="1" applyBorder="1" applyAlignment="1" applyProtection="1">
      <alignment horizontal="left"/>
      <protection locked="0"/>
    </xf>
    <xf numFmtId="49" fontId="3" fillId="0" borderId="0" xfId="0" applyNumberFormat="1" applyFont="1" applyAlignment="1" applyProtection="1">
      <alignment horizontal="left"/>
      <protection locked="0"/>
    </xf>
    <xf numFmtId="0" fontId="3" fillId="0" borderId="0" xfId="0" applyFont="1" applyBorder="1" applyAlignment="1" applyProtection="1">
      <alignment/>
      <protection locked="0"/>
    </xf>
    <xf numFmtId="0" fontId="9" fillId="0" borderId="0" xfId="0" applyFont="1" applyBorder="1" applyAlignment="1" applyProtection="1">
      <alignment/>
      <protection hidden="1"/>
    </xf>
    <xf numFmtId="0" fontId="9" fillId="0" borderId="0" xfId="0" applyFont="1" applyAlignment="1" applyProtection="1">
      <alignment horizontal="center"/>
      <protection hidden="1"/>
    </xf>
    <xf numFmtId="0" fontId="22" fillId="0" borderId="0" xfId="0" applyFont="1" applyAlignment="1">
      <alignment/>
    </xf>
    <xf numFmtId="0" fontId="23" fillId="0" borderId="0" xfId="0" applyFont="1" applyAlignment="1">
      <alignment/>
    </xf>
    <xf numFmtId="0" fontId="0" fillId="0" borderId="0" xfId="0" applyBorder="1" applyAlignment="1">
      <alignment horizontal="center"/>
    </xf>
    <xf numFmtId="0" fontId="9" fillId="0" borderId="0" xfId="0" applyFont="1" applyAlignment="1" applyProtection="1">
      <alignment/>
      <protection hidden="1"/>
    </xf>
    <xf numFmtId="0" fontId="0" fillId="0" borderId="0" xfId="0" applyBorder="1" applyAlignment="1">
      <alignment/>
    </xf>
    <xf numFmtId="0" fontId="9" fillId="0" borderId="0" xfId="0" applyFont="1" applyAlignment="1" applyProtection="1">
      <alignment horizontal="right"/>
      <protection hidden="1"/>
    </xf>
    <xf numFmtId="0" fontId="10" fillId="0" borderId="0" xfId="0" applyFont="1" applyAlignment="1" applyProtection="1">
      <alignment/>
      <protection hidden="1"/>
    </xf>
    <xf numFmtId="0" fontId="3" fillId="0" borderId="0" xfId="0" applyFont="1" applyAlignment="1" applyProtection="1">
      <alignment horizontal="justify"/>
      <protection hidden="1"/>
    </xf>
    <xf numFmtId="0" fontId="0" fillId="0" borderId="0" xfId="0" applyBorder="1" applyAlignment="1">
      <alignment/>
    </xf>
    <xf numFmtId="0" fontId="2" fillId="0" borderId="0" xfId="0" applyFont="1" applyAlignment="1" applyProtection="1">
      <alignment horizontal="center"/>
      <protection hidden="1"/>
    </xf>
    <xf numFmtId="0" fontId="9" fillId="0" borderId="10" xfId="0" applyFont="1" applyBorder="1" applyAlignment="1" applyProtection="1">
      <alignment/>
      <protection hidden="1"/>
    </xf>
    <xf numFmtId="0" fontId="9" fillId="0" borderId="11" xfId="0" applyFont="1" applyBorder="1" applyAlignment="1" applyProtection="1">
      <alignment/>
      <protection hidden="1"/>
    </xf>
    <xf numFmtId="0" fontId="0" fillId="0" borderId="0" xfId="0" applyAlignment="1" applyProtection="1">
      <alignment/>
      <protection hidden="1"/>
    </xf>
    <xf numFmtId="0" fontId="24" fillId="0" borderId="0" xfId="0" applyFont="1" applyAlignment="1" applyProtection="1">
      <alignment horizontal="justify" wrapText="1"/>
      <protection hidden="1"/>
    </xf>
    <xf numFmtId="0" fontId="1" fillId="0" borderId="0" xfId="0" applyFont="1" applyAlignment="1" applyProtection="1">
      <alignment horizontal="center"/>
      <protection hidden="1"/>
    </xf>
    <xf numFmtId="0" fontId="24" fillId="0" borderId="0" xfId="0" applyNumberFormat="1" applyFont="1" applyAlignment="1" applyProtection="1">
      <alignment horizontal="justify" wrapText="1"/>
      <protection hidden="1"/>
    </xf>
    <xf numFmtId="0" fontId="26" fillId="0" borderId="0" xfId="0" applyFont="1" applyAlignment="1" applyProtection="1">
      <alignment/>
      <protection hidden="1"/>
    </xf>
    <xf numFmtId="0" fontId="27" fillId="0" borderId="0" xfId="0" applyFont="1" applyAlignment="1" applyProtection="1">
      <alignment/>
      <protection hidden="1"/>
    </xf>
    <xf numFmtId="0" fontId="24" fillId="0" borderId="0" xfId="0" applyFont="1" applyAlignment="1" applyProtection="1">
      <alignment/>
      <protection hidden="1"/>
    </xf>
    <xf numFmtId="0" fontId="25" fillId="0" borderId="0" xfId="0" applyFont="1" applyAlignment="1" applyProtection="1">
      <alignment horizontal="center"/>
      <protection hidden="1"/>
    </xf>
    <xf numFmtId="0" fontId="25" fillId="0" borderId="0" xfId="0" applyFont="1" applyAlignment="1" applyProtection="1">
      <alignment/>
      <protection hidden="1"/>
    </xf>
    <xf numFmtId="0" fontId="24" fillId="0" borderId="0" xfId="0" applyFont="1" applyAlignment="1" applyProtection="1">
      <alignment wrapText="1"/>
      <protection hidden="1"/>
    </xf>
    <xf numFmtId="0" fontId="25" fillId="0" borderId="0" xfId="0" applyFont="1" applyBorder="1" applyAlignment="1" applyProtection="1">
      <alignment/>
      <protection hidden="1"/>
    </xf>
    <xf numFmtId="0" fontId="24" fillId="0" borderId="0" xfId="0" applyFont="1" applyAlignment="1" applyProtection="1">
      <alignment/>
      <protection hidden="1"/>
    </xf>
    <xf numFmtId="0" fontId="24" fillId="0" borderId="0" xfId="0" applyFont="1" applyAlignment="1" applyProtection="1">
      <alignment horizontal="justify" vertical="center" wrapText="1"/>
      <protection hidden="1"/>
    </xf>
    <xf numFmtId="49" fontId="25" fillId="0" borderId="0" xfId="0" applyNumberFormat="1" applyFont="1" applyAlignment="1" applyProtection="1">
      <alignment horizontal="center"/>
      <protection hidden="1"/>
    </xf>
    <xf numFmtId="49" fontId="25" fillId="0" borderId="0" xfId="0" applyNumberFormat="1" applyFont="1" applyAlignment="1" applyProtection="1">
      <alignment horizontal="left"/>
      <protection hidden="1"/>
    </xf>
    <xf numFmtId="49" fontId="24" fillId="0" borderId="0" xfId="0" applyNumberFormat="1" applyFont="1" applyAlignment="1" applyProtection="1">
      <alignment horizontal="center"/>
      <protection hidden="1"/>
    </xf>
    <xf numFmtId="0" fontId="0" fillId="0" borderId="0" xfId="0" applyFont="1" applyBorder="1" applyAlignment="1" applyProtection="1">
      <alignment horizontal="center"/>
      <protection locked="0"/>
    </xf>
    <xf numFmtId="0" fontId="0" fillId="0" borderId="12" xfId="0" applyFont="1" applyBorder="1" applyAlignment="1" applyProtection="1">
      <alignment horizontal="center"/>
      <protection locked="0"/>
    </xf>
    <xf numFmtId="0" fontId="0" fillId="0" borderId="0" xfId="0" applyFont="1" applyBorder="1" applyAlignment="1">
      <alignment horizontal="center"/>
    </xf>
    <xf numFmtId="0" fontId="0" fillId="0" borderId="12" xfId="0" applyFont="1" applyBorder="1" applyAlignment="1">
      <alignment horizontal="center"/>
    </xf>
    <xf numFmtId="0" fontId="30" fillId="0" borderId="0" xfId="0" applyFont="1" applyBorder="1" applyAlignment="1" applyProtection="1">
      <alignment horizontal="left" vertical="center"/>
      <protection hidden="1"/>
    </xf>
    <xf numFmtId="0" fontId="20" fillId="0" borderId="0" xfId="0" applyFont="1" applyBorder="1" applyAlignment="1" applyProtection="1">
      <alignment horizontal="left"/>
      <protection hidden="1"/>
    </xf>
    <xf numFmtId="0" fontId="20" fillId="0" borderId="13" xfId="0" applyFont="1" applyBorder="1" applyAlignment="1" applyProtection="1">
      <alignment horizontal="center"/>
      <protection hidden="1"/>
    </xf>
    <xf numFmtId="0" fontId="20" fillId="0" borderId="0" xfId="0" applyFont="1" applyBorder="1" applyAlignment="1" applyProtection="1">
      <alignment horizontal="center"/>
      <protection hidden="1"/>
    </xf>
    <xf numFmtId="0" fontId="30" fillId="0" borderId="0" xfId="0" applyFont="1" applyAlignment="1" applyProtection="1">
      <alignment/>
      <protection hidden="1"/>
    </xf>
    <xf numFmtId="0" fontId="30" fillId="0" borderId="0" xfId="0" applyFont="1" applyAlignment="1" applyProtection="1">
      <alignment/>
      <protection hidden="1"/>
    </xf>
    <xf numFmtId="0" fontId="0" fillId="0" borderId="0" xfId="0" applyFont="1" applyBorder="1" applyAlignment="1" applyProtection="1">
      <alignment horizontal="center" vertical="center"/>
      <protection hidden="1"/>
    </xf>
    <xf numFmtId="0" fontId="0" fillId="0" borderId="0" xfId="0" applyFont="1" applyAlignment="1" applyProtection="1">
      <alignment/>
      <protection hidden="1"/>
    </xf>
    <xf numFmtId="0" fontId="31" fillId="0" borderId="0" xfId="0" applyFont="1" applyBorder="1" applyAlignment="1" applyProtection="1" quotePrefix="1">
      <alignment horizontal="center"/>
      <protection hidden="1"/>
    </xf>
    <xf numFmtId="0" fontId="33" fillId="0" borderId="14" xfId="0" applyFont="1" applyBorder="1" applyAlignment="1" applyProtection="1">
      <alignment/>
      <protection hidden="1"/>
    </xf>
    <xf numFmtId="0" fontId="19" fillId="0" borderId="15" xfId="0" applyFont="1" applyBorder="1" applyAlignment="1" applyProtection="1">
      <alignment/>
      <protection hidden="1"/>
    </xf>
    <xf numFmtId="39" fontId="20" fillId="0" borderId="0" xfId="0" applyNumberFormat="1" applyFont="1" applyBorder="1" applyAlignment="1" applyProtection="1">
      <alignment/>
      <protection hidden="1"/>
    </xf>
    <xf numFmtId="0" fontId="20" fillId="0" borderId="0" xfId="0" applyFont="1" applyBorder="1" applyAlignment="1" applyProtection="1">
      <alignment/>
      <protection hidden="1"/>
    </xf>
    <xf numFmtId="0" fontId="19" fillId="0" borderId="0" xfId="0" applyFont="1" applyBorder="1" applyAlignment="1" applyProtection="1">
      <alignment/>
      <protection hidden="1"/>
    </xf>
    <xf numFmtId="0" fontId="19" fillId="0" borderId="0" xfId="0" applyFont="1" applyBorder="1" applyAlignment="1" applyProtection="1">
      <alignment/>
      <protection hidden="1"/>
    </xf>
    <xf numFmtId="0" fontId="20" fillId="0" borderId="16" xfId="0" applyFont="1" applyBorder="1" applyAlignment="1" applyProtection="1">
      <alignment horizontal="center" vertical="center" wrapText="1"/>
      <protection hidden="1"/>
    </xf>
    <xf numFmtId="0" fontId="19" fillId="0" borderId="0" xfId="0" applyFont="1" applyBorder="1" applyAlignment="1" applyProtection="1">
      <alignment horizontal="left"/>
      <protection hidden="1"/>
    </xf>
    <xf numFmtId="0" fontId="33" fillId="0" borderId="13" xfId="0" applyFont="1" applyBorder="1" applyAlignment="1" applyProtection="1">
      <alignment/>
      <protection hidden="1"/>
    </xf>
    <xf numFmtId="0" fontId="34" fillId="0" borderId="0" xfId="0" applyFont="1" applyBorder="1" applyAlignment="1" applyProtection="1">
      <alignment/>
      <protection hidden="1"/>
    </xf>
    <xf numFmtId="189" fontId="19" fillId="0" borderId="0" xfId="47" applyFont="1" applyBorder="1" applyAlignment="1" applyProtection="1">
      <alignment horizontal="right"/>
      <protection hidden="1"/>
    </xf>
    <xf numFmtId="0" fontId="19" fillId="0" borderId="13" xfId="0" applyFont="1" applyBorder="1" applyAlignment="1" applyProtection="1">
      <alignment/>
      <protection hidden="1"/>
    </xf>
    <xf numFmtId="39" fontId="19" fillId="0" borderId="17" xfId="0" applyNumberFormat="1" applyFont="1" applyBorder="1" applyAlignment="1" applyProtection="1">
      <alignment/>
      <protection locked="0"/>
    </xf>
    <xf numFmtId="0" fontId="19" fillId="0" borderId="13" xfId="0" applyFont="1" applyBorder="1" applyAlignment="1" applyProtection="1">
      <alignment horizontal="left"/>
      <protection hidden="1"/>
    </xf>
    <xf numFmtId="39" fontId="20" fillId="0" borderId="17" xfId="0" applyNumberFormat="1" applyFont="1" applyBorder="1" applyAlignment="1" applyProtection="1">
      <alignment/>
      <protection hidden="1"/>
    </xf>
    <xf numFmtId="39" fontId="19" fillId="0" borderId="0" xfId="0" applyNumberFormat="1" applyFont="1" applyBorder="1" applyAlignment="1" applyProtection="1">
      <alignment/>
      <protection hidden="1"/>
    </xf>
    <xf numFmtId="39" fontId="20" fillId="0" borderId="16" xfId="0" applyNumberFormat="1" applyFont="1" applyBorder="1" applyAlignment="1" applyProtection="1">
      <alignment/>
      <protection hidden="1"/>
    </xf>
    <xf numFmtId="0" fontId="20" fillId="0" borderId="14" xfId="0" applyFont="1" applyBorder="1" applyAlignment="1" applyProtection="1">
      <alignment/>
      <protection hidden="1"/>
    </xf>
    <xf numFmtId="0" fontId="20" fillId="0" borderId="15" xfId="0" applyFont="1" applyBorder="1" applyAlignment="1" applyProtection="1">
      <alignment horizontal="center"/>
      <protection hidden="1"/>
    </xf>
    <xf numFmtId="39" fontId="20" fillId="0" borderId="15" xfId="0" applyNumberFormat="1" applyFont="1" applyBorder="1" applyAlignment="1" applyProtection="1">
      <alignment/>
      <protection hidden="1"/>
    </xf>
    <xf numFmtId="39" fontId="20" fillId="0" borderId="18" xfId="0" applyNumberFormat="1" applyFont="1" applyBorder="1" applyAlignment="1" applyProtection="1">
      <alignment/>
      <protection hidden="1"/>
    </xf>
    <xf numFmtId="39" fontId="19" fillId="0" borderId="19" xfId="0" applyNumberFormat="1" applyFont="1" applyBorder="1" applyAlignment="1" applyProtection="1">
      <alignment/>
      <protection locked="0"/>
    </xf>
    <xf numFmtId="0" fontId="19" fillId="0" borderId="13" xfId="0" applyFont="1" applyBorder="1" applyAlignment="1" applyProtection="1">
      <alignment/>
      <protection hidden="1"/>
    </xf>
    <xf numFmtId="39" fontId="20" fillId="0" borderId="20" xfId="0" applyNumberFormat="1" applyFont="1" applyBorder="1" applyAlignment="1" applyProtection="1">
      <alignment/>
      <protection hidden="1"/>
    </xf>
    <xf numFmtId="0" fontId="20" fillId="0" borderId="21" xfId="0" applyFont="1" applyBorder="1" applyAlignment="1" applyProtection="1">
      <alignment horizontal="center" vertical="center" wrapText="1"/>
      <protection hidden="1"/>
    </xf>
    <xf numFmtId="189" fontId="19" fillId="0" borderId="20" xfId="47" applyFont="1" applyBorder="1" applyAlignment="1" applyProtection="1">
      <alignment horizontal="right"/>
      <protection hidden="1"/>
    </xf>
    <xf numFmtId="39" fontId="19" fillId="0" borderId="22" xfId="0" applyNumberFormat="1" applyFont="1" applyBorder="1" applyAlignment="1" applyProtection="1">
      <alignment/>
      <protection locked="0"/>
    </xf>
    <xf numFmtId="39" fontId="20" fillId="0" borderId="19" xfId="0" applyNumberFormat="1" applyFont="1" applyBorder="1" applyAlignment="1" applyProtection="1">
      <alignment/>
      <protection hidden="1"/>
    </xf>
    <xf numFmtId="0" fontId="31" fillId="0" borderId="0" xfId="0" applyFont="1" applyBorder="1" applyAlignment="1" applyProtection="1">
      <alignment horizontal="left" vertical="center" wrapText="1"/>
      <protection hidden="1"/>
    </xf>
    <xf numFmtId="0" fontId="31" fillId="0" borderId="0" xfId="0" applyFont="1" applyBorder="1" applyAlignment="1" applyProtection="1">
      <alignment horizontal="center" vertical="center"/>
      <protection hidden="1"/>
    </xf>
    <xf numFmtId="0" fontId="31" fillId="0" borderId="0" xfId="0" applyFont="1" applyBorder="1" applyAlignment="1" applyProtection="1">
      <alignment horizontal="center" vertical="center" wrapText="1"/>
      <protection hidden="1"/>
    </xf>
    <xf numFmtId="0" fontId="30" fillId="0" borderId="0" xfId="0" applyFont="1" applyBorder="1" applyAlignment="1" applyProtection="1">
      <alignment/>
      <protection hidden="1"/>
    </xf>
    <xf numFmtId="0" fontId="30" fillId="0" borderId="0" xfId="0" applyFont="1" applyBorder="1" applyAlignment="1" applyProtection="1">
      <alignment/>
      <protection hidden="1"/>
    </xf>
    <xf numFmtId="0" fontId="31" fillId="0" borderId="0" xfId="0" applyFont="1" applyBorder="1" applyAlignment="1" applyProtection="1">
      <alignment/>
      <protection hidden="1"/>
    </xf>
    <xf numFmtId="0" fontId="31" fillId="0" borderId="0" xfId="0" applyFont="1" applyBorder="1" applyAlignment="1" applyProtection="1" quotePrefix="1">
      <alignment horizontal="left"/>
      <protection hidden="1"/>
    </xf>
    <xf numFmtId="0" fontId="30" fillId="0" borderId="0" xfId="0" applyFont="1" applyBorder="1" applyAlignment="1" applyProtection="1">
      <alignment horizontal="left"/>
      <protection hidden="1"/>
    </xf>
    <xf numFmtId="0" fontId="35" fillId="0" borderId="14" xfId="0" applyFont="1" applyBorder="1" applyAlignment="1" applyProtection="1">
      <alignment/>
      <protection hidden="1"/>
    </xf>
    <xf numFmtId="0" fontId="30" fillId="0" borderId="15" xfId="0" applyFont="1" applyBorder="1" applyAlignment="1" applyProtection="1">
      <alignment/>
      <protection hidden="1"/>
    </xf>
    <xf numFmtId="49" fontId="31" fillId="0" borderId="0" xfId="0" applyNumberFormat="1" applyFont="1" applyBorder="1" applyAlignment="1" applyProtection="1">
      <alignment horizontal="center"/>
      <protection hidden="1"/>
    </xf>
    <xf numFmtId="0" fontId="30" fillId="0" borderId="0" xfId="0" applyFont="1" applyBorder="1" applyAlignment="1" applyProtection="1">
      <alignment horizontal="center"/>
      <protection hidden="1"/>
    </xf>
    <xf numFmtId="49" fontId="30" fillId="0" borderId="0" xfId="0" applyNumberFormat="1" applyFont="1" applyBorder="1" applyAlignment="1" applyProtection="1">
      <alignment horizontal="center"/>
      <protection hidden="1"/>
    </xf>
    <xf numFmtId="0" fontId="30" fillId="0" borderId="0" xfId="0" applyFont="1" applyBorder="1" applyAlignment="1" applyProtection="1" quotePrefix="1">
      <alignment horizontal="left"/>
      <protection hidden="1"/>
    </xf>
    <xf numFmtId="189" fontId="30" fillId="0" borderId="0" xfId="0" applyNumberFormat="1" applyFont="1" applyBorder="1" applyAlignment="1" applyProtection="1">
      <alignment/>
      <protection hidden="1"/>
    </xf>
    <xf numFmtId="189" fontId="31" fillId="0" borderId="0" xfId="0" applyNumberFormat="1" applyFont="1" applyBorder="1" applyAlignment="1" applyProtection="1">
      <alignment/>
      <protection hidden="1"/>
    </xf>
    <xf numFmtId="10" fontId="30" fillId="0" borderId="0" xfId="51" applyNumberFormat="1" applyFont="1" applyBorder="1" applyAlignment="1" applyProtection="1">
      <alignment/>
      <protection hidden="1"/>
    </xf>
    <xf numFmtId="49" fontId="31" fillId="0" borderId="0" xfId="0" applyNumberFormat="1" applyFont="1" applyBorder="1" applyAlignment="1" applyProtection="1" quotePrefix="1">
      <alignment horizontal="center"/>
      <protection hidden="1"/>
    </xf>
    <xf numFmtId="10" fontId="30" fillId="0" borderId="0" xfId="0" applyNumberFormat="1" applyFont="1" applyBorder="1" applyAlignment="1" applyProtection="1">
      <alignment/>
      <protection hidden="1"/>
    </xf>
    <xf numFmtId="0" fontId="31" fillId="0" borderId="0" xfId="0" applyFont="1" applyBorder="1" applyAlignment="1" applyProtection="1">
      <alignment horizontal="left"/>
      <protection hidden="1"/>
    </xf>
    <xf numFmtId="0" fontId="30" fillId="0" borderId="0" xfId="0" applyFont="1" applyAlignment="1" applyProtection="1">
      <alignment/>
      <protection/>
    </xf>
    <xf numFmtId="0" fontId="30" fillId="0" borderId="13" xfId="0" applyFont="1" applyBorder="1" applyAlignment="1" applyProtection="1">
      <alignment/>
      <protection/>
    </xf>
    <xf numFmtId="0" fontId="30" fillId="0" borderId="0" xfId="0" applyFont="1" applyBorder="1" applyAlignment="1" applyProtection="1">
      <alignment/>
      <protection/>
    </xf>
    <xf numFmtId="189" fontId="30" fillId="0" borderId="17" xfId="0" applyNumberFormat="1" applyFont="1" applyBorder="1" applyAlignment="1" applyProtection="1">
      <alignment/>
      <protection/>
    </xf>
    <xf numFmtId="0" fontId="31" fillId="0" borderId="23" xfId="0" applyFont="1" applyBorder="1" applyAlignment="1" applyProtection="1">
      <alignment/>
      <protection/>
    </xf>
    <xf numFmtId="0" fontId="31" fillId="0" borderId="10" xfId="0" applyFont="1" applyBorder="1" applyAlignment="1" applyProtection="1">
      <alignment/>
      <protection/>
    </xf>
    <xf numFmtId="189" fontId="31" fillId="0" borderId="24" xfId="0" applyNumberFormat="1" applyFont="1" applyBorder="1" applyAlignment="1" applyProtection="1">
      <alignment/>
      <protection/>
    </xf>
    <xf numFmtId="0" fontId="36" fillId="0" borderId="0" xfId="0" applyFont="1" applyAlignment="1" applyProtection="1">
      <alignment/>
      <protection/>
    </xf>
    <xf numFmtId="0" fontId="31" fillId="0" borderId="0" xfId="0" applyFont="1" applyAlignment="1" applyProtection="1">
      <alignment/>
      <protection/>
    </xf>
    <xf numFmtId="0" fontId="35" fillId="0" borderId="15" xfId="0" applyFont="1" applyBorder="1" applyAlignment="1" applyProtection="1">
      <alignment/>
      <protection hidden="1"/>
    </xf>
    <xf numFmtId="0" fontId="30" fillId="0" borderId="0" xfId="0" applyFont="1" applyBorder="1" applyAlignment="1" applyProtection="1">
      <alignment horizontal="left" vertical="center" wrapText="1"/>
      <protection hidden="1"/>
    </xf>
    <xf numFmtId="0" fontId="38" fillId="0" borderId="0" xfId="0" applyFont="1" applyAlignment="1" applyProtection="1">
      <alignment/>
      <protection hidden="1"/>
    </xf>
    <xf numFmtId="0" fontId="38" fillId="0" borderId="0" xfId="0" applyFont="1" applyAlignment="1" applyProtection="1">
      <alignment/>
      <protection hidden="1"/>
    </xf>
    <xf numFmtId="0" fontId="0" fillId="0" borderId="0" xfId="0" applyFont="1" applyAlignment="1">
      <alignment/>
    </xf>
    <xf numFmtId="0" fontId="38" fillId="0" borderId="0" xfId="0" applyFont="1" applyBorder="1" applyAlignment="1" applyProtection="1">
      <alignment/>
      <protection hidden="1"/>
    </xf>
    <xf numFmtId="0" fontId="20" fillId="0" borderId="25" xfId="0" applyFont="1" applyBorder="1" applyAlignment="1" applyProtection="1">
      <alignment horizontal="center" vertical="center" wrapText="1"/>
      <protection hidden="1"/>
    </xf>
    <xf numFmtId="0" fontId="20" fillId="0" borderId="26" xfId="0" applyFont="1" applyBorder="1" applyAlignment="1" applyProtection="1">
      <alignment horizontal="center"/>
      <protection hidden="1"/>
    </xf>
    <xf numFmtId="0" fontId="20" fillId="0" borderId="16" xfId="0" applyFont="1" applyBorder="1" applyAlignment="1" applyProtection="1">
      <alignment horizontal="left"/>
      <protection hidden="1"/>
    </xf>
    <xf numFmtId="0" fontId="20" fillId="0" borderId="16" xfId="0" applyFont="1" applyBorder="1" applyAlignment="1" applyProtection="1">
      <alignment horizontal="center"/>
      <protection hidden="1"/>
    </xf>
    <xf numFmtId="0" fontId="20" fillId="0" borderId="21" xfId="0" applyFont="1" applyBorder="1" applyAlignment="1" applyProtection="1">
      <alignment horizontal="center"/>
      <protection hidden="1"/>
    </xf>
    <xf numFmtId="0" fontId="19" fillId="0" borderId="27" xfId="0" applyFont="1" applyBorder="1" applyAlignment="1" applyProtection="1">
      <alignment horizontal="center"/>
      <protection hidden="1"/>
    </xf>
    <xf numFmtId="198" fontId="19" fillId="0" borderId="28" xfId="0" applyNumberFormat="1" applyFont="1" applyBorder="1" applyAlignment="1" applyProtection="1">
      <alignment/>
      <protection locked="0"/>
    </xf>
    <xf numFmtId="198" fontId="19" fillId="0" borderId="29" xfId="0" applyNumberFormat="1" applyFont="1" applyBorder="1" applyAlignment="1" applyProtection="1">
      <alignment/>
      <protection locked="0"/>
    </xf>
    <xf numFmtId="0" fontId="19" fillId="0" borderId="30" xfId="0" applyFont="1" applyBorder="1" applyAlignment="1" applyProtection="1">
      <alignment horizontal="center"/>
      <protection hidden="1"/>
    </xf>
    <xf numFmtId="0" fontId="19" fillId="0" borderId="30" xfId="0" applyFont="1" applyBorder="1" applyAlignment="1" applyProtection="1">
      <alignment horizontal="center"/>
      <protection locked="0"/>
    </xf>
    <xf numFmtId="0" fontId="19" fillId="0" borderId="0" xfId="0" applyFont="1" applyBorder="1" applyAlignment="1" applyProtection="1">
      <alignment horizontal="left"/>
      <protection locked="0"/>
    </xf>
    <xf numFmtId="0" fontId="20" fillId="0" borderId="26" xfId="0" applyFont="1" applyBorder="1" applyAlignment="1" applyProtection="1">
      <alignment horizontal="left"/>
      <protection hidden="1"/>
    </xf>
    <xf numFmtId="0" fontId="20" fillId="0" borderId="15" xfId="0" applyFont="1" applyBorder="1" applyAlignment="1" applyProtection="1">
      <alignment horizontal="left"/>
      <protection hidden="1"/>
    </xf>
    <xf numFmtId="198" fontId="20" fillId="0" borderId="31" xfId="0" applyNumberFormat="1" applyFont="1" applyBorder="1" applyAlignment="1" applyProtection="1">
      <alignment/>
      <protection hidden="1"/>
    </xf>
    <xf numFmtId="0" fontId="19" fillId="0" borderId="26" xfId="0" applyFont="1" applyBorder="1" applyAlignment="1" applyProtection="1">
      <alignment horizontal="left"/>
      <protection hidden="1"/>
    </xf>
    <xf numFmtId="198" fontId="20" fillId="0" borderId="16" xfId="0" applyNumberFormat="1" applyFont="1" applyBorder="1" applyAlignment="1" applyProtection="1">
      <alignment/>
      <protection hidden="1"/>
    </xf>
    <xf numFmtId="198" fontId="20" fillId="0" borderId="21" xfId="0" applyNumberFormat="1" applyFont="1" applyBorder="1" applyAlignment="1" applyProtection="1">
      <alignment/>
      <protection hidden="1"/>
    </xf>
    <xf numFmtId="0" fontId="40" fillId="0" borderId="0" xfId="0" applyFont="1" applyBorder="1" applyAlignment="1" applyProtection="1">
      <alignment/>
      <protection hidden="1"/>
    </xf>
    <xf numFmtId="198" fontId="20" fillId="0" borderId="32" xfId="0" applyNumberFormat="1" applyFont="1" applyBorder="1" applyAlignment="1" applyProtection="1">
      <alignment/>
      <protection hidden="1"/>
    </xf>
    <xf numFmtId="198" fontId="19" fillId="0" borderId="0" xfId="0" applyNumberFormat="1" applyFont="1" applyBorder="1" applyAlignment="1" applyProtection="1">
      <alignment/>
      <protection hidden="1"/>
    </xf>
    <xf numFmtId="0" fontId="35" fillId="0" borderId="0" xfId="0" applyFont="1" applyBorder="1" applyAlignment="1" applyProtection="1">
      <alignment horizontal="center" vertical="center"/>
      <protection hidden="1"/>
    </xf>
    <xf numFmtId="0" fontId="20" fillId="0" borderId="33" xfId="0" applyFont="1" applyBorder="1" applyAlignment="1" applyProtection="1">
      <alignment horizontal="center"/>
      <protection hidden="1"/>
    </xf>
    <xf numFmtId="198" fontId="19" fillId="0" borderId="34" xfId="0" applyNumberFormat="1" applyFont="1" applyBorder="1" applyAlignment="1" applyProtection="1">
      <alignment/>
      <protection hidden="1"/>
    </xf>
    <xf numFmtId="0" fontId="19" fillId="0" borderId="35" xfId="0" applyFont="1" applyBorder="1" applyAlignment="1" applyProtection="1">
      <alignment horizontal="left"/>
      <protection locked="0"/>
    </xf>
    <xf numFmtId="0" fontId="19" fillId="0" borderId="36" xfId="0" applyFont="1" applyBorder="1" applyAlignment="1" applyProtection="1">
      <alignment horizontal="left"/>
      <protection locked="0"/>
    </xf>
    <xf numFmtId="0" fontId="19" fillId="0" borderId="37" xfId="0" applyFont="1" applyBorder="1" applyAlignment="1" applyProtection="1">
      <alignment horizontal="center"/>
      <protection locked="0"/>
    </xf>
    <xf numFmtId="0" fontId="19" fillId="0" borderId="38" xfId="0" applyFont="1" applyBorder="1" applyAlignment="1" applyProtection="1">
      <alignment horizontal="center"/>
      <protection locked="0"/>
    </xf>
    <xf numFmtId="0" fontId="20" fillId="0" borderId="39" xfId="0" applyFont="1" applyBorder="1" applyAlignment="1" applyProtection="1">
      <alignment horizontal="center"/>
      <protection hidden="1"/>
    </xf>
    <xf numFmtId="0" fontId="19" fillId="0" borderId="40" xfId="0" applyFont="1" applyBorder="1" applyAlignment="1" applyProtection="1">
      <alignment horizontal="left"/>
      <protection hidden="1"/>
    </xf>
    <xf numFmtId="0" fontId="20" fillId="0" borderId="31" xfId="0" applyFont="1" applyBorder="1" applyAlignment="1" applyProtection="1">
      <alignment horizontal="left"/>
      <protection hidden="1"/>
    </xf>
    <xf numFmtId="198" fontId="20" fillId="0" borderId="0" xfId="0" applyNumberFormat="1" applyFont="1" applyBorder="1" applyAlignment="1" applyProtection="1">
      <alignment/>
      <protection hidden="1"/>
    </xf>
    <xf numFmtId="0" fontId="22" fillId="0" borderId="0" xfId="0" applyFont="1" applyBorder="1" applyAlignment="1" applyProtection="1">
      <alignment vertical="center" wrapText="1"/>
      <protection hidden="1"/>
    </xf>
    <xf numFmtId="0" fontId="35" fillId="0" borderId="0" xfId="0" applyFont="1" applyBorder="1" applyAlignment="1" applyProtection="1">
      <alignment horizontal="left" vertical="center"/>
      <protection hidden="1"/>
    </xf>
    <xf numFmtId="0" fontId="33" fillId="0" borderId="15" xfId="0" applyFont="1" applyBorder="1" applyAlignment="1" applyProtection="1">
      <alignment/>
      <protection hidden="1"/>
    </xf>
    <xf numFmtId="0" fontId="33" fillId="0" borderId="0" xfId="0" applyFont="1" applyBorder="1" applyAlignment="1" applyProtection="1">
      <alignment/>
      <protection hidden="1"/>
    </xf>
    <xf numFmtId="0" fontId="20" fillId="0" borderId="15" xfId="0" applyFont="1" applyBorder="1" applyAlignment="1" applyProtection="1">
      <alignment/>
      <protection hidden="1"/>
    </xf>
    <xf numFmtId="0" fontId="20" fillId="0" borderId="41" xfId="0" applyFont="1" applyBorder="1" applyAlignment="1" applyProtection="1">
      <alignment horizontal="center" vertical="center" wrapText="1"/>
      <protection hidden="1"/>
    </xf>
    <xf numFmtId="198" fontId="19" fillId="0" borderId="35" xfId="0" applyNumberFormat="1" applyFont="1" applyBorder="1" applyAlignment="1" applyProtection="1">
      <alignment/>
      <protection locked="0"/>
    </xf>
    <xf numFmtId="0" fontId="0" fillId="0" borderId="0" xfId="0" applyFont="1" applyBorder="1" applyAlignment="1" applyProtection="1">
      <alignment/>
      <protection hidden="1"/>
    </xf>
    <xf numFmtId="0" fontId="20" fillId="0" borderId="32" xfId="0" applyFont="1" applyBorder="1" applyAlignment="1" applyProtection="1">
      <alignment horizontal="center"/>
      <protection hidden="1"/>
    </xf>
    <xf numFmtId="39" fontId="19" fillId="0" borderId="34" xfId="0" applyNumberFormat="1" applyFont="1" applyBorder="1" applyAlignment="1" applyProtection="1">
      <alignment/>
      <protection locked="0"/>
    </xf>
    <xf numFmtId="39" fontId="20" fillId="0" borderId="21" xfId="0" applyNumberFormat="1" applyFont="1" applyBorder="1" applyAlignment="1" applyProtection="1">
      <alignment/>
      <protection hidden="1"/>
    </xf>
    <xf numFmtId="0" fontId="30" fillId="0" borderId="18" xfId="0" applyFont="1" applyBorder="1" applyAlignment="1" applyProtection="1">
      <alignment/>
      <protection hidden="1"/>
    </xf>
    <xf numFmtId="39" fontId="19" fillId="0" borderId="42" xfId="0" applyNumberFormat="1" applyFont="1" applyBorder="1" applyAlignment="1" applyProtection="1">
      <alignment/>
      <protection locked="0"/>
    </xf>
    <xf numFmtId="39" fontId="19" fillId="0" borderId="20" xfId="0" applyNumberFormat="1" applyFont="1" applyBorder="1" applyAlignment="1" applyProtection="1">
      <alignment/>
      <protection hidden="1"/>
    </xf>
    <xf numFmtId="189" fontId="30" fillId="0" borderId="28" xfId="0" applyNumberFormat="1" applyFont="1" applyBorder="1" applyAlignment="1" applyProtection="1">
      <alignment/>
      <protection/>
    </xf>
    <xf numFmtId="0" fontId="19" fillId="0" borderId="0" xfId="0" applyFont="1" applyBorder="1" applyAlignment="1" applyProtection="1">
      <alignment horizontal="center"/>
      <protection hidden="1"/>
    </xf>
    <xf numFmtId="198" fontId="19" fillId="0" borderId="25" xfId="0" applyNumberFormat="1" applyFont="1" applyBorder="1" applyAlignment="1" applyProtection="1">
      <alignment/>
      <protection locked="0"/>
    </xf>
    <xf numFmtId="198" fontId="19" fillId="0" borderId="25" xfId="0" applyNumberFormat="1" applyFont="1" applyBorder="1" applyAlignment="1" applyProtection="1">
      <alignment/>
      <protection hidden="1"/>
    </xf>
    <xf numFmtId="0" fontId="20" fillId="0" borderId="43" xfId="0" applyFont="1" applyBorder="1" applyAlignment="1" applyProtection="1">
      <alignment horizontal="center" vertical="center" wrapText="1"/>
      <protection hidden="1"/>
    </xf>
    <xf numFmtId="0" fontId="20" fillId="0" borderId="32" xfId="0" applyFont="1" applyBorder="1" applyAlignment="1" applyProtection="1">
      <alignment horizontal="left"/>
      <protection hidden="1"/>
    </xf>
    <xf numFmtId="198" fontId="19" fillId="0" borderId="34" xfId="0" applyNumberFormat="1" applyFont="1" applyBorder="1" applyAlignment="1" applyProtection="1">
      <alignment/>
      <protection locked="0"/>
    </xf>
    <xf numFmtId="198" fontId="19" fillId="0" borderId="29" xfId="0" applyNumberFormat="1" applyFont="1" applyBorder="1" applyAlignment="1" applyProtection="1">
      <alignment/>
      <protection hidden="1"/>
    </xf>
    <xf numFmtId="0" fontId="19" fillId="0" borderId="0" xfId="0" applyFont="1" applyAlignment="1" applyProtection="1">
      <alignment/>
      <protection hidden="1"/>
    </xf>
    <xf numFmtId="0" fontId="33" fillId="0" borderId="0" xfId="0" applyFont="1" applyBorder="1" applyAlignment="1" applyProtection="1">
      <alignment horizontal="center" vertical="center"/>
      <protection hidden="1"/>
    </xf>
    <xf numFmtId="0" fontId="32" fillId="0" borderId="0" xfId="0" applyFont="1" applyBorder="1" applyAlignment="1" applyProtection="1">
      <alignment horizontal="center" vertical="center"/>
      <protection hidden="1"/>
    </xf>
    <xf numFmtId="0" fontId="42" fillId="0" borderId="0" xfId="0" applyFont="1" applyAlignment="1" applyProtection="1">
      <alignment horizontal="center" vertical="center"/>
      <protection hidden="1"/>
    </xf>
    <xf numFmtId="0" fontId="20" fillId="0" borderId="33" xfId="0" applyFont="1" applyBorder="1" applyAlignment="1" applyProtection="1">
      <alignment/>
      <protection hidden="1"/>
    </xf>
    <xf numFmtId="0" fontId="20" fillId="0" borderId="44" xfId="0" applyFont="1" applyBorder="1" applyAlignment="1" applyProtection="1">
      <alignment/>
      <protection hidden="1"/>
    </xf>
    <xf numFmtId="9" fontId="20" fillId="0" borderId="16" xfId="0" applyNumberFormat="1" applyFont="1" applyBorder="1" applyAlignment="1" applyProtection="1">
      <alignment horizontal="center"/>
      <protection hidden="1"/>
    </xf>
    <xf numFmtId="0" fontId="19" fillId="0" borderId="41" xfId="0" applyFont="1" applyBorder="1" applyAlignment="1" applyProtection="1">
      <alignment horizontal="center"/>
      <protection hidden="1"/>
    </xf>
    <xf numFmtId="0" fontId="19" fillId="0" borderId="45" xfId="0" applyFont="1" applyBorder="1" applyAlignment="1" applyProtection="1">
      <alignment horizontal="center"/>
      <protection hidden="1"/>
    </xf>
    <xf numFmtId="0" fontId="20" fillId="24" borderId="21" xfId="0" applyFont="1" applyFill="1" applyBorder="1" applyAlignment="1" applyProtection="1">
      <alignment horizontal="center"/>
      <protection hidden="1"/>
    </xf>
    <xf numFmtId="0" fontId="42" fillId="0" borderId="0" xfId="0" applyFont="1" applyAlignment="1" applyProtection="1">
      <alignment horizontal="center"/>
      <protection hidden="1"/>
    </xf>
    <xf numFmtId="9" fontId="20" fillId="0" borderId="43" xfId="0" applyNumberFormat="1" applyFont="1" applyBorder="1" applyAlignment="1" applyProtection="1">
      <alignment horizontal="center"/>
      <protection hidden="1"/>
    </xf>
    <xf numFmtId="0" fontId="20" fillId="0" borderId="43" xfId="0" applyFont="1" applyBorder="1" applyAlignment="1" applyProtection="1">
      <alignment horizontal="center"/>
      <protection hidden="1"/>
    </xf>
    <xf numFmtId="0" fontId="20" fillId="0" borderId="31" xfId="0" applyFont="1" applyBorder="1" applyAlignment="1" applyProtection="1">
      <alignment horizontal="center" vertical="center" wrapText="1"/>
      <protection hidden="1"/>
    </xf>
    <xf numFmtId="0" fontId="20" fillId="0" borderId="46" xfId="0" applyFont="1" applyBorder="1" applyAlignment="1" applyProtection="1">
      <alignment horizontal="center"/>
      <protection hidden="1"/>
    </xf>
    <xf numFmtId="0" fontId="20" fillId="0" borderId="33" xfId="0" applyFont="1" applyBorder="1" applyAlignment="1" applyProtection="1">
      <alignment horizontal="left"/>
      <protection hidden="1"/>
    </xf>
    <xf numFmtId="0" fontId="19" fillId="0" borderId="0" xfId="0" applyFont="1" applyBorder="1" applyAlignment="1" applyProtection="1">
      <alignment/>
      <protection hidden="1"/>
    </xf>
    <xf numFmtId="198" fontId="20" fillId="0" borderId="47" xfId="0" applyNumberFormat="1" applyFont="1" applyBorder="1" applyAlignment="1" applyProtection="1">
      <alignment/>
      <protection hidden="1"/>
    </xf>
    <xf numFmtId="198" fontId="20" fillId="0" borderId="39" xfId="0" applyNumberFormat="1" applyFont="1" applyBorder="1" applyAlignment="1" applyProtection="1">
      <alignment/>
      <protection hidden="1"/>
    </xf>
    <xf numFmtId="0" fontId="20" fillId="0" borderId="13" xfId="0" applyFont="1" applyBorder="1" applyAlignment="1" applyProtection="1">
      <alignment horizontal="center" vertical="center" wrapText="1"/>
      <protection hidden="1"/>
    </xf>
    <xf numFmtId="0" fontId="19" fillId="0" borderId="48" xfId="0" applyFont="1" applyBorder="1" applyAlignment="1" applyProtection="1">
      <alignment horizontal="center"/>
      <protection hidden="1"/>
    </xf>
    <xf numFmtId="0" fontId="19" fillId="0" borderId="49" xfId="0" applyFont="1" applyBorder="1" applyAlignment="1" applyProtection="1">
      <alignment horizontal="center"/>
      <protection hidden="1"/>
    </xf>
    <xf numFmtId="0" fontId="19" fillId="0" borderId="33" xfId="0" applyFont="1" applyBorder="1" applyAlignment="1" applyProtection="1">
      <alignment horizontal="center"/>
      <protection hidden="1"/>
    </xf>
    <xf numFmtId="0" fontId="0" fillId="0" borderId="0" xfId="0" applyFont="1" applyAlignment="1" applyProtection="1">
      <alignment horizontal="center"/>
      <protection hidden="1"/>
    </xf>
    <xf numFmtId="0" fontId="20" fillId="0" borderId="16" xfId="0" applyFont="1" applyBorder="1" applyAlignment="1" applyProtection="1">
      <alignment horizontal="center" vertical="center"/>
      <protection hidden="1"/>
    </xf>
    <xf numFmtId="39" fontId="20" fillId="0" borderId="16" xfId="0" applyNumberFormat="1" applyFont="1" applyBorder="1" applyAlignment="1" applyProtection="1">
      <alignment horizontal="right"/>
      <protection hidden="1"/>
    </xf>
    <xf numFmtId="39" fontId="20" fillId="0" borderId="21" xfId="0" applyNumberFormat="1" applyFont="1" applyBorder="1" applyAlignment="1" applyProtection="1">
      <alignment horizontal="right"/>
      <protection hidden="1"/>
    </xf>
    <xf numFmtId="0" fontId="19" fillId="0" borderId="44" xfId="0" applyFont="1" applyBorder="1" applyAlignment="1" applyProtection="1">
      <alignment/>
      <protection hidden="1"/>
    </xf>
    <xf numFmtId="0" fontId="20" fillId="0" borderId="15" xfId="0" applyFont="1" applyBorder="1" applyAlignment="1" applyProtection="1">
      <alignment horizontal="left" vertical="center"/>
      <protection hidden="1"/>
    </xf>
    <xf numFmtId="0" fontId="0" fillId="0" borderId="0" xfId="0" applyFont="1" applyBorder="1" applyAlignment="1" applyProtection="1">
      <alignment/>
      <protection hidden="1"/>
    </xf>
    <xf numFmtId="0" fontId="0" fillId="0" borderId="0" xfId="0" applyFont="1" applyAlignment="1" applyProtection="1">
      <alignment/>
      <protection hidden="1"/>
    </xf>
    <xf numFmtId="0" fontId="0" fillId="0" borderId="33" xfId="0" applyFont="1" applyBorder="1" applyAlignment="1" applyProtection="1">
      <alignment/>
      <protection hidden="1"/>
    </xf>
    <xf numFmtId="0" fontId="20" fillId="0" borderId="13" xfId="0" applyFont="1" applyBorder="1" applyAlignment="1" applyProtection="1">
      <alignment/>
      <protection hidden="1"/>
    </xf>
    <xf numFmtId="0" fontId="22" fillId="0" borderId="0" xfId="0" applyFont="1" applyBorder="1" applyAlignment="1" applyProtection="1">
      <alignment/>
      <protection hidden="1"/>
    </xf>
    <xf numFmtId="0" fontId="0" fillId="0" borderId="0" xfId="0" applyFont="1" applyBorder="1" applyAlignment="1" applyProtection="1">
      <alignment horizontal="left"/>
      <protection hidden="1"/>
    </xf>
    <xf numFmtId="0" fontId="23" fillId="0" borderId="0" xfId="0" applyFont="1" applyBorder="1" applyAlignment="1" applyProtection="1">
      <alignment horizontal="center" vertical="center"/>
      <protection hidden="1"/>
    </xf>
    <xf numFmtId="0" fontId="41" fillId="0" borderId="0" xfId="0" applyFont="1" applyBorder="1" applyAlignment="1" applyProtection="1">
      <alignment horizontal="center" vertical="center"/>
      <protection hidden="1"/>
    </xf>
    <xf numFmtId="0" fontId="31" fillId="0" borderId="15" xfId="0" applyFont="1" applyBorder="1" applyAlignment="1" applyProtection="1">
      <alignment horizontal="right" vertical="center"/>
      <protection hidden="1"/>
    </xf>
    <xf numFmtId="0" fontId="31" fillId="0" borderId="15" xfId="0" applyFont="1" applyBorder="1" applyAlignment="1" applyProtection="1">
      <alignment horizontal="left" vertical="center"/>
      <protection hidden="1"/>
    </xf>
    <xf numFmtId="198" fontId="20" fillId="0" borderId="0" xfId="0" applyNumberFormat="1" applyFont="1" applyBorder="1" applyAlignment="1" applyProtection="1">
      <alignment horizontal="right" vertical="center"/>
      <protection hidden="1"/>
    </xf>
    <xf numFmtId="0" fontId="20" fillId="0" borderId="39" xfId="0" applyFont="1" applyBorder="1" applyAlignment="1" applyProtection="1">
      <alignment horizontal="center" vertical="center"/>
      <protection hidden="1"/>
    </xf>
    <xf numFmtId="198" fontId="20" fillId="0" borderId="20" xfId="0" applyNumberFormat="1" applyFont="1" applyBorder="1" applyAlignment="1" applyProtection="1">
      <alignment horizontal="right" vertical="center"/>
      <protection hidden="1"/>
    </xf>
    <xf numFmtId="0" fontId="19" fillId="0" borderId="0" xfId="0" applyFont="1" applyBorder="1" applyAlignment="1" applyProtection="1">
      <alignment horizontal="left"/>
      <protection hidden="1"/>
    </xf>
    <xf numFmtId="0" fontId="22" fillId="0" borderId="0" xfId="0" applyFont="1" applyAlignment="1" applyProtection="1">
      <alignment horizontal="center"/>
      <protection hidden="1"/>
    </xf>
    <xf numFmtId="39" fontId="20" fillId="0" borderId="50" xfId="0" applyNumberFormat="1" applyFont="1" applyBorder="1" applyAlignment="1" applyProtection="1">
      <alignment horizontal="right" wrapText="1"/>
      <protection hidden="1"/>
    </xf>
    <xf numFmtId="39" fontId="20" fillId="0" borderId="50" xfId="0" applyNumberFormat="1" applyFont="1" applyBorder="1" applyAlignment="1" applyProtection="1">
      <alignment horizontal="right"/>
      <protection hidden="1"/>
    </xf>
    <xf numFmtId="39" fontId="20" fillId="0" borderId="20" xfId="0" applyNumberFormat="1" applyFont="1" applyBorder="1" applyAlignment="1" applyProtection="1">
      <alignment horizontal="right"/>
      <protection hidden="1"/>
    </xf>
    <xf numFmtId="39" fontId="20" fillId="0" borderId="19" xfId="0" applyNumberFormat="1" applyFont="1" applyBorder="1" applyAlignment="1" applyProtection="1">
      <alignment horizontal="right" wrapText="1"/>
      <protection hidden="1"/>
    </xf>
    <xf numFmtId="0" fontId="40" fillId="0" borderId="0" xfId="0" applyFont="1" applyAlignment="1" applyProtection="1">
      <alignment horizontal="center"/>
      <protection hidden="1"/>
    </xf>
    <xf numFmtId="0" fontId="0" fillId="0" borderId="0" xfId="0" applyFont="1" applyAlignment="1" applyProtection="1">
      <alignment horizontal="left"/>
      <protection hidden="1"/>
    </xf>
    <xf numFmtId="0" fontId="22" fillId="0" borderId="0" xfId="0" applyFont="1" applyAlignment="1" applyProtection="1">
      <alignment/>
      <protection hidden="1"/>
    </xf>
    <xf numFmtId="39" fontId="20" fillId="0" borderId="16" xfId="0" applyNumberFormat="1" applyFont="1" applyBorder="1" applyAlignment="1" applyProtection="1">
      <alignment horizontal="center"/>
      <protection hidden="1"/>
    </xf>
    <xf numFmtId="39" fontId="19" fillId="0" borderId="17" xfId="0" applyNumberFormat="1" applyFont="1" applyBorder="1" applyAlignment="1" applyProtection="1">
      <alignment horizontal="right"/>
      <protection hidden="1"/>
    </xf>
    <xf numFmtId="0" fontId="20" fillId="0" borderId="10" xfId="0" applyFont="1" applyBorder="1" applyAlignment="1" applyProtection="1">
      <alignment/>
      <protection hidden="1"/>
    </xf>
    <xf numFmtId="39" fontId="20" fillId="0" borderId="21" xfId="0" applyNumberFormat="1" applyFont="1" applyBorder="1" applyAlignment="1" applyProtection="1">
      <alignment horizontal="center"/>
      <protection hidden="1"/>
    </xf>
    <xf numFmtId="4" fontId="19" fillId="0" borderId="0" xfId="0" applyNumberFormat="1" applyFont="1" applyBorder="1" applyAlignment="1" applyProtection="1">
      <alignment horizontal="right"/>
      <protection hidden="1"/>
    </xf>
    <xf numFmtId="0" fontId="31" fillId="0" borderId="0" xfId="0" applyFont="1" applyBorder="1" applyAlignment="1" applyProtection="1">
      <alignment/>
      <protection hidden="1"/>
    </xf>
    <xf numFmtId="0" fontId="19" fillId="0" borderId="0" xfId="0" applyFont="1" applyAlignment="1" applyProtection="1">
      <alignment horizontal="left"/>
      <protection hidden="1"/>
    </xf>
    <xf numFmtId="0" fontId="19" fillId="0" borderId="18" xfId="0" applyFont="1" applyBorder="1" applyAlignment="1" applyProtection="1">
      <alignment/>
      <protection hidden="1"/>
    </xf>
    <xf numFmtId="39" fontId="20" fillId="0" borderId="32" xfId="0" applyNumberFormat="1" applyFont="1" applyBorder="1" applyAlignment="1" applyProtection="1">
      <alignment/>
      <protection hidden="1"/>
    </xf>
    <xf numFmtId="0" fontId="20" fillId="0" borderId="51" xfId="0" applyFont="1" applyBorder="1" applyAlignment="1" applyProtection="1">
      <alignment horizontal="center" vertical="center"/>
      <protection hidden="1"/>
    </xf>
    <xf numFmtId="0" fontId="20" fillId="0" borderId="52" xfId="0" applyFont="1" applyBorder="1" applyAlignment="1" applyProtection="1">
      <alignment horizontal="center" vertical="center"/>
      <protection hidden="1"/>
    </xf>
    <xf numFmtId="198" fontId="19" fillId="0" borderId="53" xfId="0" applyNumberFormat="1" applyFont="1" applyBorder="1" applyAlignment="1" applyProtection="1">
      <alignment/>
      <protection hidden="1"/>
    </xf>
    <xf numFmtId="0" fontId="20" fillId="0" borderId="54" xfId="0" applyFont="1" applyBorder="1" applyAlignment="1" applyProtection="1">
      <alignment horizontal="center" vertical="center"/>
      <protection hidden="1"/>
    </xf>
    <xf numFmtId="0" fontId="20" fillId="0" borderId="32" xfId="0" applyFont="1" applyBorder="1" applyAlignment="1" applyProtection="1">
      <alignment horizontal="center" vertical="center"/>
      <protection hidden="1"/>
    </xf>
    <xf numFmtId="198" fontId="19" fillId="0" borderId="42" xfId="0" applyNumberFormat="1" applyFont="1" applyBorder="1" applyAlignment="1" applyProtection="1">
      <alignment/>
      <protection hidden="1"/>
    </xf>
    <xf numFmtId="0" fontId="0" fillId="0" borderId="0" xfId="0" applyBorder="1" applyAlignment="1" applyProtection="1">
      <alignment horizontal="center"/>
      <protection hidden="1"/>
    </xf>
    <xf numFmtId="39" fontId="19" fillId="0" borderId="28" xfId="0" applyNumberFormat="1" applyFont="1" applyBorder="1" applyAlignment="1" applyProtection="1">
      <alignment horizontal="right"/>
      <protection locked="0"/>
    </xf>
    <xf numFmtId="39" fontId="19" fillId="0" borderId="29" xfId="0" applyNumberFormat="1" applyFont="1" applyBorder="1" applyAlignment="1" applyProtection="1">
      <alignment horizontal="right"/>
      <protection locked="0"/>
    </xf>
    <xf numFmtId="0" fontId="0" fillId="0" borderId="13" xfId="0" applyBorder="1" applyAlignment="1" applyProtection="1">
      <alignment horizontal="center"/>
      <protection hidden="1"/>
    </xf>
    <xf numFmtId="0" fontId="0" fillId="0" borderId="13" xfId="0" applyBorder="1" applyAlignment="1" applyProtection="1">
      <alignment/>
      <protection hidden="1"/>
    </xf>
    <xf numFmtId="0" fontId="20" fillId="0" borderId="13" xfId="0" applyFont="1" applyBorder="1" applyAlignment="1" applyProtection="1">
      <alignment horizontal="center" vertical="center"/>
      <protection hidden="1"/>
    </xf>
    <xf numFmtId="0" fontId="22" fillId="0" borderId="0" xfId="0" applyFont="1" applyAlignment="1" applyProtection="1">
      <alignment horizontal="right"/>
      <protection hidden="1"/>
    </xf>
    <xf numFmtId="39" fontId="20" fillId="0" borderId="44" xfId="0" applyNumberFormat="1" applyFont="1" applyBorder="1" applyAlignment="1" applyProtection="1">
      <alignment horizontal="center"/>
      <protection hidden="1"/>
    </xf>
    <xf numFmtId="39" fontId="20" fillId="0" borderId="42" xfId="0" applyNumberFormat="1" applyFont="1" applyBorder="1" applyAlignment="1" applyProtection="1">
      <alignment horizontal="right" wrapText="1"/>
      <protection hidden="1"/>
    </xf>
    <xf numFmtId="0" fontId="19" fillId="0" borderId="0" xfId="0" applyFont="1" applyBorder="1" applyAlignment="1" applyProtection="1">
      <alignment horizontal="center"/>
      <protection hidden="1"/>
    </xf>
    <xf numFmtId="0" fontId="0" fillId="0" borderId="33" xfId="0" applyBorder="1" applyAlignment="1" applyProtection="1">
      <alignment/>
      <protection hidden="1"/>
    </xf>
    <xf numFmtId="0" fontId="0" fillId="0" borderId="0" xfId="0" applyFont="1" applyAlignment="1">
      <alignment horizontal="center"/>
    </xf>
    <xf numFmtId="4" fontId="20" fillId="0" borderId="0" xfId="0" applyNumberFormat="1" applyFont="1" applyBorder="1" applyAlignment="1" applyProtection="1">
      <alignment horizontal="right"/>
      <protection hidden="1"/>
    </xf>
    <xf numFmtId="39" fontId="20" fillId="0" borderId="0" xfId="0" applyNumberFormat="1" applyFont="1" applyBorder="1" applyAlignment="1" applyProtection="1">
      <alignment horizontal="right"/>
      <protection hidden="1"/>
    </xf>
    <xf numFmtId="0" fontId="22" fillId="0" borderId="0" xfId="0" applyFont="1" applyBorder="1" applyAlignment="1" applyProtection="1">
      <alignment/>
      <protection hidden="1"/>
    </xf>
    <xf numFmtId="0" fontId="20" fillId="0" borderId="33" xfId="0" applyFont="1" applyBorder="1" applyAlignment="1" applyProtection="1">
      <alignment horizontal="center" vertical="center"/>
      <protection hidden="1"/>
    </xf>
    <xf numFmtId="0" fontId="19" fillId="0" borderId="13" xfId="0" applyFont="1" applyBorder="1" applyAlignment="1" applyProtection="1">
      <alignment vertical="center"/>
      <protection hidden="1"/>
    </xf>
    <xf numFmtId="0" fontId="20" fillId="0" borderId="13" xfId="0" applyFont="1" applyBorder="1" applyAlignment="1" applyProtection="1">
      <alignment vertical="center"/>
      <protection hidden="1"/>
    </xf>
    <xf numFmtId="0" fontId="45" fillId="0" borderId="55" xfId="0" applyFont="1" applyBorder="1" applyAlignment="1" applyProtection="1">
      <alignment horizontal="center"/>
      <protection hidden="1"/>
    </xf>
    <xf numFmtId="0" fontId="45" fillId="0" borderId="56" xfId="0" applyFont="1" applyBorder="1" applyAlignment="1" applyProtection="1">
      <alignment horizontal="center"/>
      <protection hidden="1"/>
    </xf>
    <xf numFmtId="0" fontId="45" fillId="0" borderId="56" xfId="0" applyFont="1" applyBorder="1" applyAlignment="1" applyProtection="1">
      <alignment horizontal="center"/>
      <protection locked="0"/>
    </xf>
    <xf numFmtId="0" fontId="0" fillId="0" borderId="56" xfId="0" applyFont="1" applyBorder="1" applyAlignment="1">
      <alignment horizontal="center"/>
    </xf>
    <xf numFmtId="0" fontId="45" fillId="0" borderId="56" xfId="0" applyFont="1" applyBorder="1" applyAlignment="1" applyProtection="1" quotePrefix="1">
      <alignment horizontal="center"/>
      <protection locked="0"/>
    </xf>
    <xf numFmtId="0" fontId="0" fillId="0" borderId="45" xfId="0" applyFont="1" applyBorder="1" applyAlignment="1">
      <alignment horizontal="center"/>
    </xf>
    <xf numFmtId="0" fontId="45" fillId="0" borderId="36" xfId="0" applyFont="1" applyBorder="1" applyAlignment="1" applyProtection="1">
      <alignment horizontal="center"/>
      <protection hidden="1"/>
    </xf>
    <xf numFmtId="0" fontId="46" fillId="0" borderId="0" xfId="0" applyFont="1" applyBorder="1" applyAlignment="1" applyProtection="1">
      <alignment horizontal="center"/>
      <protection hidden="1"/>
    </xf>
    <xf numFmtId="0" fontId="45" fillId="0" borderId="0" xfId="0" applyFont="1" applyBorder="1" applyAlignment="1" applyProtection="1">
      <alignment horizontal="center"/>
      <protection hidden="1"/>
    </xf>
    <xf numFmtId="0" fontId="45" fillId="0" borderId="0" xfId="0" applyFont="1" applyBorder="1" applyAlignment="1" applyProtection="1" quotePrefix="1">
      <alignment horizontal="center"/>
      <protection hidden="1"/>
    </xf>
    <xf numFmtId="0" fontId="0" fillId="0" borderId="36" xfId="0" applyFont="1" applyBorder="1" applyAlignment="1" applyProtection="1">
      <alignment horizontal="center"/>
      <protection hidden="1"/>
    </xf>
    <xf numFmtId="0" fontId="0" fillId="0" borderId="0" xfId="0" applyFont="1" applyBorder="1" applyAlignment="1" applyProtection="1">
      <alignment horizontal="center"/>
      <protection hidden="1"/>
    </xf>
    <xf numFmtId="49" fontId="0" fillId="0" borderId="0" xfId="0" applyNumberFormat="1" applyFont="1" applyBorder="1" applyAlignment="1" applyProtection="1">
      <alignment horizontal="center"/>
      <protection hidden="1"/>
    </xf>
    <xf numFmtId="189" fontId="0" fillId="0" borderId="0" xfId="0" applyNumberFormat="1" applyFont="1" applyBorder="1" applyAlignment="1" applyProtection="1">
      <alignment horizontal="center"/>
      <protection hidden="1"/>
    </xf>
    <xf numFmtId="0" fontId="0" fillId="0" borderId="57" xfId="0" applyFont="1" applyBorder="1" applyAlignment="1" applyProtection="1">
      <alignment horizontal="center"/>
      <protection hidden="1"/>
    </xf>
    <xf numFmtId="0" fontId="0" fillId="0" borderId="58" xfId="0" applyFont="1" applyBorder="1" applyAlignment="1" applyProtection="1">
      <alignment horizontal="center"/>
      <protection hidden="1"/>
    </xf>
    <xf numFmtId="0" fontId="0" fillId="0" borderId="58" xfId="0" applyFont="1" applyBorder="1" applyAlignment="1">
      <alignment horizontal="center"/>
    </xf>
    <xf numFmtId="0" fontId="0" fillId="0" borderId="36" xfId="0" applyFont="1" applyBorder="1" applyAlignment="1">
      <alignment horizontal="center"/>
    </xf>
    <xf numFmtId="0" fontId="0" fillId="0" borderId="57" xfId="0" applyFont="1" applyBorder="1" applyAlignment="1">
      <alignment horizontal="center"/>
    </xf>
    <xf numFmtId="0" fontId="0" fillId="0" borderId="59" xfId="0" applyFont="1" applyBorder="1" applyAlignment="1">
      <alignment horizontal="center"/>
    </xf>
    <xf numFmtId="0" fontId="0" fillId="0" borderId="55" xfId="0" applyFont="1" applyBorder="1" applyAlignment="1">
      <alignment horizontal="center"/>
    </xf>
    <xf numFmtId="0" fontId="45" fillId="0" borderId="36" xfId="0" applyFont="1" applyBorder="1" applyAlignment="1" applyProtection="1">
      <alignment horizontal="center"/>
      <protection locked="0"/>
    </xf>
    <xf numFmtId="0" fontId="0" fillId="0" borderId="57" xfId="0" applyFont="1" applyBorder="1" applyAlignment="1" applyProtection="1">
      <alignment horizontal="center"/>
      <protection locked="0"/>
    </xf>
    <xf numFmtId="0" fontId="22" fillId="0" borderId="0" xfId="0" applyFont="1" applyBorder="1" applyAlignment="1">
      <alignment/>
    </xf>
    <xf numFmtId="0" fontId="0" fillId="0" borderId="0" xfId="0" applyFont="1" applyBorder="1" applyAlignment="1">
      <alignment wrapText="1"/>
    </xf>
    <xf numFmtId="0" fontId="0" fillId="0" borderId="0" xfId="0" applyBorder="1" applyAlignment="1">
      <alignment wrapText="1"/>
    </xf>
    <xf numFmtId="39" fontId="19" fillId="0" borderId="29" xfId="0" applyNumberFormat="1" applyFont="1" applyBorder="1" applyAlignment="1" applyProtection="1">
      <alignment horizontal="right"/>
      <protection hidden="1"/>
    </xf>
    <xf numFmtId="39" fontId="19" fillId="0" borderId="35" xfId="0" applyNumberFormat="1" applyFont="1" applyBorder="1" applyAlignment="1" applyProtection="1">
      <alignment horizontal="right"/>
      <protection locked="0"/>
    </xf>
    <xf numFmtId="39" fontId="19" fillId="0" borderId="50" xfId="0" applyNumberFormat="1" applyFont="1" applyBorder="1" applyAlignment="1" applyProtection="1">
      <alignment horizontal="right"/>
      <protection locked="0"/>
    </xf>
    <xf numFmtId="0" fontId="0" fillId="0" borderId="0" xfId="0" applyFont="1" applyFill="1" applyAlignment="1">
      <alignment/>
    </xf>
    <xf numFmtId="0" fontId="59" fillId="25" borderId="0" xfId="0" applyFont="1" applyFill="1" applyAlignment="1" applyProtection="1">
      <alignment horizontal="center" vertical="center"/>
      <protection hidden="1"/>
    </xf>
    <xf numFmtId="0" fontId="51" fillId="26" borderId="0" xfId="0" applyFont="1" applyFill="1" applyAlignment="1" applyProtection="1">
      <alignment horizontal="center"/>
      <protection hidden="1"/>
    </xf>
    <xf numFmtId="0" fontId="61" fillId="25" borderId="0" xfId="0" applyFont="1" applyFill="1" applyAlignment="1" applyProtection="1">
      <alignment/>
      <protection hidden="1"/>
    </xf>
    <xf numFmtId="0" fontId="59" fillId="0" borderId="0" xfId="0" applyFont="1" applyFill="1" applyAlignment="1" applyProtection="1">
      <alignment horizontal="center"/>
      <protection hidden="1"/>
    </xf>
    <xf numFmtId="0" fontId="0" fillId="26" borderId="0" xfId="0" applyFont="1" applyFill="1" applyAlignment="1" applyProtection="1">
      <alignment/>
      <protection locked="0"/>
    </xf>
    <xf numFmtId="0" fontId="47" fillId="26" borderId="0" xfId="0" applyFont="1" applyFill="1" applyAlignment="1" applyProtection="1">
      <alignment horizontal="center" vertical="center"/>
      <protection locked="0"/>
    </xf>
    <xf numFmtId="0" fontId="48" fillId="26" borderId="0" xfId="0" applyFont="1" applyFill="1" applyAlignment="1" applyProtection="1">
      <alignment horizontal="left" vertical="top"/>
      <protection locked="0"/>
    </xf>
    <xf numFmtId="0" fontId="49" fillId="26" borderId="0" xfId="0" applyFont="1" applyFill="1" applyAlignment="1" applyProtection="1">
      <alignment horizontal="center" vertical="center"/>
      <protection locked="0"/>
    </xf>
    <xf numFmtId="0" fontId="0" fillId="26" borderId="0" xfId="0" applyFont="1" applyFill="1" applyAlignment="1" applyProtection="1">
      <alignment/>
      <protection hidden="1"/>
    </xf>
    <xf numFmtId="0" fontId="47" fillId="26" borderId="0" xfId="0" applyFont="1" applyFill="1" applyAlignment="1" applyProtection="1">
      <alignment horizontal="center" vertical="center"/>
      <protection hidden="1"/>
    </xf>
    <xf numFmtId="0" fontId="50" fillId="26" borderId="0" xfId="0" applyFont="1" applyFill="1" applyAlignment="1" applyProtection="1">
      <alignment horizontal="left" vertical="center"/>
      <protection hidden="1"/>
    </xf>
    <xf numFmtId="0" fontId="52" fillId="26" borderId="0" xfId="0" applyFont="1" applyFill="1" applyAlignment="1" applyProtection="1">
      <alignment horizontal="right" vertical="top"/>
      <protection hidden="1"/>
    </xf>
    <xf numFmtId="0" fontId="53" fillId="26" borderId="0" xfId="0" applyFont="1" applyFill="1" applyAlignment="1" applyProtection="1">
      <alignment/>
      <protection hidden="1"/>
    </xf>
    <xf numFmtId="0" fontId="54" fillId="26" borderId="0" xfId="0" applyFont="1" applyFill="1" applyAlignment="1" applyProtection="1">
      <alignment horizontal="center" vertical="center"/>
      <protection hidden="1"/>
    </xf>
    <xf numFmtId="0" fontId="58" fillId="26" borderId="0" xfId="0" applyFont="1" applyFill="1" applyAlignment="1" applyProtection="1">
      <alignment horizontal="center"/>
      <protection hidden="1"/>
    </xf>
    <xf numFmtId="0" fontId="56" fillId="26" borderId="0" xfId="0" applyFont="1" applyFill="1" applyAlignment="1" applyProtection="1">
      <alignment horizontal="right"/>
      <protection hidden="1"/>
    </xf>
    <xf numFmtId="0" fontId="59" fillId="26" borderId="0" xfId="0" applyFont="1" applyFill="1" applyAlignment="1" applyProtection="1">
      <alignment horizontal="center"/>
      <protection hidden="1"/>
    </xf>
    <xf numFmtId="0" fontId="55" fillId="26" borderId="0" xfId="0" applyFont="1" applyFill="1" applyAlignment="1" applyProtection="1">
      <alignment/>
      <protection hidden="1"/>
    </xf>
    <xf numFmtId="0" fontId="64" fillId="26" borderId="0" xfId="0" applyFont="1" applyFill="1" applyAlignment="1" applyProtection="1">
      <alignment horizontal="center"/>
      <protection hidden="1"/>
    </xf>
    <xf numFmtId="0" fontId="0" fillId="26" borderId="0" xfId="0" applyFont="1" applyFill="1" applyAlignment="1">
      <alignment/>
    </xf>
    <xf numFmtId="0" fontId="62" fillId="26" borderId="0" xfId="0" applyFont="1" applyFill="1" applyAlignment="1" applyProtection="1">
      <alignment horizontal="center"/>
      <protection hidden="1"/>
    </xf>
    <xf numFmtId="0" fontId="47" fillId="27" borderId="0" xfId="0" applyFont="1" applyFill="1" applyAlignment="1" applyProtection="1">
      <alignment horizontal="center" vertical="center"/>
      <protection hidden="1"/>
    </xf>
    <xf numFmtId="0" fontId="52" fillId="27" borderId="0" xfId="0" applyFont="1" applyFill="1" applyAlignment="1" applyProtection="1">
      <alignment horizontal="right" vertical="top"/>
      <protection hidden="1"/>
    </xf>
    <xf numFmtId="0" fontId="54" fillId="27" borderId="0" xfId="0" applyFont="1" applyFill="1" applyAlignment="1" applyProtection="1">
      <alignment horizontal="center" vertical="center"/>
      <protection hidden="1"/>
    </xf>
    <xf numFmtId="0" fontId="0" fillId="27" borderId="0" xfId="0" applyFont="1" applyFill="1" applyAlignment="1" applyProtection="1">
      <alignment horizontal="center"/>
      <protection hidden="1"/>
    </xf>
    <xf numFmtId="0" fontId="55" fillId="27" borderId="0" xfId="0" applyFont="1" applyFill="1" applyBorder="1" applyAlignment="1" applyProtection="1">
      <alignment/>
      <protection hidden="1"/>
    </xf>
    <xf numFmtId="0" fontId="57" fillId="27" borderId="0" xfId="0" applyFont="1" applyFill="1" applyBorder="1" applyAlignment="1" applyProtection="1">
      <alignment horizontal="center"/>
      <protection hidden="1"/>
    </xf>
    <xf numFmtId="0" fontId="56" fillId="27" borderId="0" xfId="0" applyFont="1" applyFill="1" applyAlignment="1" applyProtection="1">
      <alignment horizontal="right"/>
      <protection hidden="1"/>
    </xf>
    <xf numFmtId="0" fontId="59" fillId="27" borderId="0" xfId="0" applyFont="1" applyFill="1" applyAlignment="1" applyProtection="1">
      <alignment horizontal="center"/>
      <protection hidden="1"/>
    </xf>
    <xf numFmtId="0" fontId="64" fillId="27" borderId="0" xfId="0" applyFont="1" applyFill="1" applyAlignment="1" applyProtection="1">
      <alignment horizontal="center"/>
      <protection hidden="1"/>
    </xf>
    <xf numFmtId="0" fontId="0" fillId="25" borderId="0" xfId="0" applyFont="1" applyFill="1" applyAlignment="1">
      <alignment/>
    </xf>
    <xf numFmtId="0" fontId="47" fillId="25" borderId="0" xfId="0" applyFont="1" applyFill="1" applyAlignment="1" applyProtection="1">
      <alignment horizontal="center" vertical="center"/>
      <protection hidden="1"/>
    </xf>
    <xf numFmtId="0" fontId="48" fillId="25" borderId="0" xfId="0" applyFont="1" applyFill="1" applyAlignment="1" applyProtection="1">
      <alignment horizontal="left" vertical="top"/>
      <protection hidden="1"/>
    </xf>
    <xf numFmtId="0" fontId="49" fillId="25" borderId="0" xfId="0" applyFont="1" applyFill="1" applyAlignment="1" applyProtection="1">
      <alignment horizontal="center" vertical="center"/>
      <protection hidden="1"/>
    </xf>
    <xf numFmtId="0" fontId="49" fillId="0" borderId="0" xfId="0" applyFont="1" applyFill="1" applyAlignment="1" applyProtection="1">
      <alignment horizontal="center" vertical="center"/>
      <protection hidden="1"/>
    </xf>
    <xf numFmtId="0" fontId="69" fillId="0" borderId="0" xfId="0" applyFont="1" applyFill="1" applyAlignment="1" applyProtection="1">
      <alignment horizontal="left" vertical="center"/>
      <protection hidden="1"/>
    </xf>
    <xf numFmtId="0" fontId="52" fillId="25" borderId="0" xfId="0" applyFont="1" applyFill="1" applyAlignment="1" applyProtection="1">
      <alignment horizontal="right" vertical="top"/>
      <protection hidden="1"/>
    </xf>
    <xf numFmtId="0" fontId="59" fillId="0" borderId="0" xfId="0" applyFont="1" applyFill="1" applyAlignment="1" applyProtection="1">
      <alignment horizontal="center" vertical="center"/>
      <protection hidden="1"/>
    </xf>
    <xf numFmtId="0" fontId="70" fillId="0" borderId="0" xfId="0" applyFont="1" applyFill="1" applyAlignment="1" applyProtection="1">
      <alignment horizontal="left" vertical="center"/>
      <protection hidden="1"/>
    </xf>
    <xf numFmtId="0" fontId="70" fillId="25" borderId="0" xfId="0" applyFont="1" applyFill="1" applyAlignment="1" applyProtection="1">
      <alignment horizontal="center" vertical="center"/>
      <protection hidden="1"/>
    </xf>
    <xf numFmtId="0" fontId="70" fillId="0" borderId="0" xfId="0" applyFont="1" applyFill="1" applyAlignment="1" applyProtection="1">
      <alignment horizontal="center" vertical="center"/>
      <protection hidden="1"/>
    </xf>
    <xf numFmtId="49" fontId="51" fillId="0" borderId="0" xfId="0" applyNumberFormat="1" applyFont="1" applyFill="1" applyAlignment="1" applyProtection="1">
      <alignment horizontal="left"/>
      <protection hidden="1"/>
    </xf>
    <xf numFmtId="0" fontId="71" fillId="0" borderId="0" xfId="0" applyFont="1" applyFill="1" applyAlignment="1" applyProtection="1">
      <alignment horizontal="center"/>
      <protection hidden="1"/>
    </xf>
    <xf numFmtId="0" fontId="47" fillId="28" borderId="0" xfId="0" applyFont="1" applyFill="1" applyAlignment="1" applyProtection="1">
      <alignment horizontal="center" vertical="center"/>
      <protection hidden="1"/>
    </xf>
    <xf numFmtId="0" fontId="59" fillId="28" borderId="0" xfId="0" applyFont="1" applyFill="1" applyAlignment="1" applyProtection="1">
      <alignment horizontal="center"/>
      <protection hidden="1"/>
    </xf>
    <xf numFmtId="0" fontId="55" fillId="28" borderId="0" xfId="0" applyFont="1" applyFill="1" applyAlignment="1" applyProtection="1">
      <alignment/>
      <protection hidden="1"/>
    </xf>
    <xf numFmtId="0" fontId="59" fillId="25" borderId="0" xfId="0" applyFont="1" applyFill="1" applyAlignment="1" applyProtection="1">
      <alignment horizontal="center"/>
      <protection hidden="1"/>
    </xf>
    <xf numFmtId="0" fontId="56" fillId="25" borderId="0" xfId="0" applyFont="1" applyFill="1" applyAlignment="1" applyProtection="1">
      <alignment horizontal="right"/>
      <protection hidden="1"/>
    </xf>
    <xf numFmtId="0" fontId="53" fillId="25" borderId="0" xfId="0" applyFont="1" applyFill="1" applyAlignment="1" applyProtection="1">
      <alignment/>
      <protection hidden="1"/>
    </xf>
    <xf numFmtId="0" fontId="73" fillId="25" borderId="0" xfId="0" applyFont="1" applyFill="1" applyAlignment="1" applyProtection="1">
      <alignment/>
      <protection hidden="1"/>
    </xf>
    <xf numFmtId="0" fontId="61" fillId="25" borderId="0" xfId="0" applyFont="1" applyFill="1" applyAlignment="1" applyProtection="1">
      <alignment/>
      <protection hidden="1"/>
    </xf>
    <xf numFmtId="0" fontId="53" fillId="0" borderId="0" xfId="0" applyFont="1" applyFill="1" applyAlignment="1" applyProtection="1">
      <alignment/>
      <protection hidden="1"/>
    </xf>
    <xf numFmtId="0" fontId="53" fillId="25" borderId="0" xfId="0" applyFont="1" applyFill="1" applyAlignment="1">
      <alignment/>
    </xf>
    <xf numFmtId="0" fontId="53" fillId="0" borderId="0" xfId="0" applyFont="1" applyFill="1" applyAlignment="1">
      <alignment/>
    </xf>
    <xf numFmtId="0" fontId="2" fillId="0" borderId="0" xfId="0" applyFont="1" applyAlignment="1" applyProtection="1">
      <alignment/>
      <protection hidden="1"/>
    </xf>
    <xf numFmtId="0" fontId="0" fillId="0" borderId="0" xfId="0" applyAlignment="1" applyProtection="1">
      <alignment horizontal="right"/>
      <protection hidden="1"/>
    </xf>
    <xf numFmtId="0" fontId="9" fillId="0" borderId="0" xfId="0" applyFont="1" applyAlignment="1" applyProtection="1">
      <alignment horizontal="center"/>
      <protection locked="0"/>
    </xf>
    <xf numFmtId="0" fontId="10" fillId="0" borderId="60" xfId="0" applyFont="1" applyBorder="1" applyAlignment="1" applyProtection="1">
      <alignment horizontal="center"/>
      <protection hidden="1"/>
    </xf>
    <xf numFmtId="0" fontId="55" fillId="29" borderId="0" xfId="0" applyFont="1" applyFill="1" applyBorder="1" applyAlignment="1" applyProtection="1">
      <alignment/>
      <protection hidden="1"/>
    </xf>
    <xf numFmtId="0" fontId="56" fillId="30" borderId="0" xfId="0" applyFont="1" applyFill="1" applyAlignment="1" applyProtection="1">
      <alignment horizontal="right"/>
      <protection hidden="1"/>
    </xf>
    <xf numFmtId="0" fontId="55" fillId="30" borderId="0" xfId="0" applyFont="1" applyFill="1" applyAlignment="1" applyProtection="1">
      <alignment/>
      <protection hidden="1"/>
    </xf>
    <xf numFmtId="0" fontId="53" fillId="30" borderId="0" xfId="0" applyFont="1" applyFill="1" applyAlignment="1" applyProtection="1">
      <alignment/>
      <protection hidden="1"/>
    </xf>
    <xf numFmtId="0" fontId="59" fillId="30" borderId="0" xfId="0" applyFont="1" applyFill="1" applyAlignment="1" applyProtection="1">
      <alignment horizontal="center"/>
      <protection hidden="1"/>
    </xf>
    <xf numFmtId="0" fontId="72" fillId="30" borderId="0" xfId="0" applyFont="1" applyFill="1" applyAlignment="1" applyProtection="1">
      <alignment/>
      <protection hidden="1"/>
    </xf>
    <xf numFmtId="0" fontId="73" fillId="30" borderId="0" xfId="0" applyFont="1" applyFill="1" applyAlignment="1" applyProtection="1">
      <alignment/>
      <protection hidden="1"/>
    </xf>
    <xf numFmtId="0" fontId="78" fillId="30" borderId="0" xfId="0" applyFont="1" applyFill="1" applyAlignment="1" applyProtection="1">
      <alignment/>
      <protection hidden="1"/>
    </xf>
    <xf numFmtId="0" fontId="37" fillId="30" borderId="0" xfId="0" applyFont="1" applyFill="1" applyAlignment="1" applyProtection="1">
      <alignment/>
      <protection hidden="1"/>
    </xf>
    <xf numFmtId="0" fontId="56" fillId="30" borderId="0" xfId="0" applyFont="1" applyFill="1" applyAlignment="1" applyProtection="1">
      <alignment horizontal="left"/>
      <protection hidden="1"/>
    </xf>
    <xf numFmtId="0" fontId="56" fillId="30" borderId="0" xfId="0" applyFont="1" applyFill="1" applyAlignment="1" applyProtection="1">
      <alignment horizontal="center"/>
      <protection hidden="1"/>
    </xf>
    <xf numFmtId="0" fontId="60" fillId="30" borderId="0" xfId="0" applyFont="1" applyFill="1" applyAlignment="1" applyProtection="1">
      <alignment/>
      <protection hidden="1"/>
    </xf>
    <xf numFmtId="0" fontId="74" fillId="30" borderId="0" xfId="0" applyFont="1" applyFill="1" applyAlignment="1" applyProtection="1">
      <alignment/>
      <protection hidden="1"/>
    </xf>
    <xf numFmtId="0" fontId="74" fillId="30" borderId="0" xfId="0" applyFont="1" applyFill="1" applyAlignment="1" applyProtection="1">
      <alignment horizontal="center"/>
      <protection hidden="1"/>
    </xf>
    <xf numFmtId="0" fontId="53" fillId="30" borderId="0" xfId="0" applyFont="1" applyFill="1" applyAlignment="1" applyProtection="1">
      <alignment/>
      <protection hidden="1"/>
    </xf>
    <xf numFmtId="0" fontId="75" fillId="30" borderId="0" xfId="0" applyFont="1" applyFill="1" applyAlignment="1" applyProtection="1">
      <alignment/>
      <protection hidden="1"/>
    </xf>
    <xf numFmtId="0" fontId="56" fillId="30" borderId="0" xfId="0" applyFont="1" applyFill="1" applyAlignment="1" applyProtection="1">
      <alignment/>
      <protection hidden="1"/>
    </xf>
    <xf numFmtId="0" fontId="56" fillId="29" borderId="0" xfId="0" applyFont="1" applyFill="1" applyBorder="1" applyAlignment="1" applyProtection="1">
      <alignment horizontal="right"/>
      <protection hidden="1"/>
    </xf>
    <xf numFmtId="0" fontId="57" fillId="29" borderId="0" xfId="0" applyFont="1" applyFill="1" applyBorder="1" applyAlignment="1" applyProtection="1">
      <alignment/>
      <protection hidden="1"/>
    </xf>
    <xf numFmtId="0" fontId="57" fillId="29" borderId="0" xfId="0" applyFont="1" applyFill="1" applyBorder="1" applyAlignment="1" applyProtection="1">
      <alignment horizontal="right"/>
      <protection hidden="1"/>
    </xf>
    <xf numFmtId="0" fontId="57" fillId="29" borderId="0" xfId="0" applyFont="1" applyFill="1" applyBorder="1" applyAlignment="1" applyProtection="1">
      <alignment horizontal="center"/>
      <protection hidden="1"/>
    </xf>
    <xf numFmtId="0" fontId="57" fillId="29" borderId="0" xfId="0" applyFont="1" applyFill="1" applyBorder="1" applyAlignment="1" applyProtection="1">
      <alignment horizontal="left"/>
      <protection hidden="1"/>
    </xf>
    <xf numFmtId="0" fontId="55" fillId="29" borderId="0" xfId="0" applyFont="1" applyFill="1" applyBorder="1" applyAlignment="1" applyProtection="1">
      <alignment horizontal="right"/>
      <protection hidden="1"/>
    </xf>
    <xf numFmtId="4" fontId="55" fillId="29" borderId="0" xfId="0" applyNumberFormat="1" applyFont="1" applyFill="1" applyBorder="1" applyAlignment="1" applyProtection="1">
      <alignment horizontal="center"/>
      <protection hidden="1"/>
    </xf>
    <xf numFmtId="4" fontId="55" fillId="29" borderId="61" xfId="0" applyNumberFormat="1" applyFont="1" applyFill="1" applyBorder="1" applyAlignment="1" applyProtection="1">
      <alignment horizontal="center"/>
      <protection locked="0"/>
    </xf>
    <xf numFmtId="0" fontId="56" fillId="31" borderId="0" xfId="0" applyFont="1" applyFill="1" applyAlignment="1" applyProtection="1">
      <alignment horizontal="right"/>
      <protection hidden="1"/>
    </xf>
    <xf numFmtId="0" fontId="55" fillId="31" borderId="0" xfId="0" applyFont="1" applyFill="1" applyAlignment="1" applyProtection="1">
      <alignment/>
      <protection hidden="1"/>
    </xf>
    <xf numFmtId="0" fontId="53" fillId="31" borderId="0" xfId="0" applyFont="1" applyFill="1" applyAlignment="1" applyProtection="1">
      <alignment/>
      <protection hidden="1"/>
    </xf>
    <xf numFmtId="0" fontId="59" fillId="31" borderId="0" xfId="0" applyFont="1" applyFill="1" applyAlignment="1" applyProtection="1">
      <alignment horizontal="center"/>
      <protection hidden="1"/>
    </xf>
    <xf numFmtId="0" fontId="66" fillId="31" borderId="0" xfId="0" applyFont="1" applyFill="1" applyAlignment="1" applyProtection="1">
      <alignment/>
      <protection hidden="1"/>
    </xf>
    <xf numFmtId="0" fontId="67" fillId="31" borderId="0" xfId="0" applyFont="1" applyFill="1" applyAlignment="1">
      <alignment/>
    </xf>
    <xf numFmtId="0" fontId="0" fillId="31" borderId="0" xfId="0" applyFill="1" applyAlignment="1">
      <alignment/>
    </xf>
    <xf numFmtId="0" fontId="63" fillId="31" borderId="0" xfId="0" applyFont="1" applyFill="1" applyAlignment="1" applyProtection="1">
      <alignment/>
      <protection hidden="1"/>
    </xf>
    <xf numFmtId="49" fontId="55" fillId="31" borderId="0" xfId="0" applyNumberFormat="1" applyFont="1" applyFill="1" applyAlignment="1" applyProtection="1">
      <alignment horizontal="left"/>
      <protection hidden="1"/>
    </xf>
    <xf numFmtId="49" fontId="55" fillId="31" borderId="0" xfId="0" applyNumberFormat="1" applyFont="1" applyFill="1" applyAlignment="1" applyProtection="1">
      <alignment/>
      <protection hidden="1"/>
    </xf>
    <xf numFmtId="49" fontId="55" fillId="31" borderId="0" xfId="0" applyNumberFormat="1" applyFont="1" applyFill="1" applyAlignment="1" applyProtection="1">
      <alignment/>
      <protection hidden="1"/>
    </xf>
    <xf numFmtId="0" fontId="68" fillId="31" borderId="0" xfId="0" applyFont="1" applyFill="1" applyAlignment="1">
      <alignment/>
    </xf>
    <xf numFmtId="0" fontId="56" fillId="31" borderId="0" xfId="0" applyFont="1" applyFill="1" applyAlignment="1" applyProtection="1">
      <alignment horizontal="left"/>
      <protection hidden="1"/>
    </xf>
    <xf numFmtId="0" fontId="55" fillId="31" borderId="0" xfId="0" applyFont="1" applyFill="1" applyAlignment="1" applyProtection="1">
      <alignment horizontal="left"/>
      <protection hidden="1"/>
    </xf>
    <xf numFmtId="0" fontId="55" fillId="31" borderId="0" xfId="0" applyFont="1" applyFill="1" applyAlignment="1" applyProtection="1">
      <alignment horizontal="center"/>
      <protection hidden="1"/>
    </xf>
    <xf numFmtId="0" fontId="0" fillId="31" borderId="0" xfId="0" applyFont="1" applyFill="1" applyAlignment="1">
      <alignment/>
    </xf>
    <xf numFmtId="0" fontId="57" fillId="31" borderId="0" xfId="0" applyFont="1" applyFill="1" applyAlignment="1" applyProtection="1">
      <alignment horizontal="center"/>
      <protection hidden="1"/>
    </xf>
    <xf numFmtId="0" fontId="60" fillId="31" borderId="0" xfId="0" applyFont="1" applyFill="1" applyAlignment="1" applyProtection="1">
      <alignment/>
      <protection hidden="1"/>
    </xf>
    <xf numFmtId="0" fontId="55" fillId="31" borderId="0" xfId="0" applyFont="1" applyFill="1" applyAlignment="1" applyProtection="1">
      <alignment/>
      <protection hidden="1"/>
    </xf>
    <xf numFmtId="0" fontId="43" fillId="31" borderId="0" xfId="0" applyFont="1" applyFill="1" applyAlignment="1" applyProtection="1">
      <alignment/>
      <protection hidden="1"/>
    </xf>
    <xf numFmtId="49" fontId="43" fillId="31" borderId="0" xfId="0" applyNumberFormat="1" applyFont="1" applyFill="1" applyAlignment="1" applyProtection="1">
      <alignment horizontal="left"/>
      <protection hidden="1"/>
    </xf>
    <xf numFmtId="0" fontId="64" fillId="31" borderId="0" xfId="0" applyFont="1" applyFill="1" applyAlignment="1" applyProtection="1">
      <alignment horizontal="center"/>
      <protection hidden="1"/>
    </xf>
    <xf numFmtId="0" fontId="61" fillId="31" borderId="0" xfId="0" applyFont="1" applyFill="1" applyAlignment="1" applyProtection="1">
      <alignment/>
      <protection hidden="1"/>
    </xf>
    <xf numFmtId="0" fontId="9" fillId="0" borderId="0" xfId="0" applyFont="1" applyAlignment="1" applyProtection="1">
      <alignment/>
      <protection locked="0"/>
    </xf>
    <xf numFmtId="0" fontId="9" fillId="0" borderId="10" xfId="0" applyFont="1" applyBorder="1" applyAlignment="1" applyProtection="1">
      <alignment/>
      <protection hidden="1"/>
    </xf>
    <xf numFmtId="0" fontId="9" fillId="0" borderId="10" xfId="0" applyFont="1" applyBorder="1" applyAlignment="1" applyProtection="1">
      <alignment horizontal="center"/>
      <protection hidden="1"/>
    </xf>
    <xf numFmtId="0" fontId="9" fillId="0" borderId="14" xfId="0" applyFont="1" applyBorder="1" applyAlignment="1" applyProtection="1">
      <alignment/>
      <protection hidden="1"/>
    </xf>
    <xf numFmtId="0" fontId="9" fillId="0" borderId="15" xfId="0" applyFont="1" applyBorder="1" applyAlignment="1" applyProtection="1">
      <alignment horizontal="left"/>
      <protection hidden="1"/>
    </xf>
    <xf numFmtId="0" fontId="9" fillId="0" borderId="15" xfId="0" applyFont="1" applyBorder="1" applyAlignment="1" applyProtection="1">
      <alignment/>
      <protection hidden="1"/>
    </xf>
    <xf numFmtId="0" fontId="9" fillId="0" borderId="18" xfId="0" applyFont="1" applyBorder="1" applyAlignment="1" applyProtection="1">
      <alignment/>
      <protection hidden="1"/>
    </xf>
    <xf numFmtId="0" fontId="9" fillId="0" borderId="13" xfId="0" applyFont="1" applyBorder="1" applyAlignment="1" applyProtection="1">
      <alignment/>
      <protection hidden="1"/>
    </xf>
    <xf numFmtId="0" fontId="9" fillId="0" borderId="20" xfId="0" applyFont="1" applyBorder="1" applyAlignment="1" applyProtection="1">
      <alignment/>
      <protection hidden="1"/>
    </xf>
    <xf numFmtId="0" fontId="10" fillId="0" borderId="62" xfId="0" applyFont="1" applyBorder="1" applyAlignment="1" applyProtection="1">
      <alignment horizontal="center"/>
      <protection hidden="1"/>
    </xf>
    <xf numFmtId="0" fontId="9" fillId="0" borderId="63" xfId="0" applyFont="1" applyBorder="1" applyAlignment="1" applyProtection="1">
      <alignment/>
      <protection hidden="1"/>
    </xf>
    <xf numFmtId="0" fontId="9" fillId="0" borderId="13" xfId="0" applyFont="1" applyBorder="1" applyAlignment="1" applyProtection="1">
      <alignment horizontal="center"/>
      <protection hidden="1"/>
    </xf>
    <xf numFmtId="0" fontId="9" fillId="32" borderId="64" xfId="0" applyFont="1" applyFill="1" applyBorder="1" applyAlignment="1" applyProtection="1">
      <alignment/>
      <protection hidden="1"/>
    </xf>
    <xf numFmtId="0" fontId="9" fillId="32" borderId="65" xfId="0" applyFont="1" applyFill="1" applyBorder="1" applyAlignment="1" applyProtection="1">
      <alignment/>
      <protection hidden="1"/>
    </xf>
    <xf numFmtId="0" fontId="9" fillId="0" borderId="60" xfId="0" applyFont="1" applyBorder="1" applyAlignment="1" applyProtection="1">
      <alignment/>
      <protection hidden="1"/>
    </xf>
    <xf numFmtId="0" fontId="9" fillId="0" borderId="60" xfId="0" applyFont="1" applyBorder="1" applyAlignment="1" applyProtection="1">
      <alignment horizontal="center"/>
      <protection hidden="1"/>
    </xf>
    <xf numFmtId="10" fontId="9" fillId="0" borderId="63" xfId="0" applyNumberFormat="1" applyFont="1" applyBorder="1" applyAlignment="1" applyProtection="1">
      <alignment/>
      <protection hidden="1"/>
    </xf>
    <xf numFmtId="0" fontId="9" fillId="0" borderId="23" xfId="0" applyFont="1" applyBorder="1" applyAlignment="1" applyProtection="1">
      <alignment/>
      <protection hidden="1"/>
    </xf>
    <xf numFmtId="0" fontId="0" fillId="0" borderId="0" xfId="0" applyBorder="1" applyAlignment="1">
      <alignment horizontal="center" vertical="center"/>
    </xf>
    <xf numFmtId="0" fontId="0" fillId="0" borderId="0" xfId="0" applyBorder="1" applyAlignment="1">
      <alignment vertical="center"/>
    </xf>
    <xf numFmtId="0" fontId="22" fillId="0" borderId="0" xfId="0" applyFont="1" applyBorder="1" applyAlignment="1">
      <alignment vertical="center"/>
    </xf>
    <xf numFmtId="0" fontId="22" fillId="0" borderId="0" xfId="0" applyFont="1" applyBorder="1" applyAlignment="1">
      <alignment wrapText="1"/>
    </xf>
    <xf numFmtId="0" fontId="0" fillId="0" borderId="0" xfId="0" applyNumberFormat="1" applyBorder="1" applyAlignment="1">
      <alignment/>
    </xf>
    <xf numFmtId="0" fontId="0" fillId="0" borderId="0" xfId="0" applyBorder="1" applyAlignment="1">
      <alignment horizontal="center" vertical="justify"/>
    </xf>
    <xf numFmtId="39" fontId="19" fillId="0" borderId="50" xfId="0" applyNumberFormat="1" applyFont="1" applyBorder="1" applyAlignment="1" applyProtection="1">
      <alignment horizontal="right"/>
      <protection hidden="1"/>
    </xf>
    <xf numFmtId="0" fontId="0" fillId="0" borderId="0" xfId="0" applyFont="1" applyAlignment="1" applyProtection="1">
      <alignment horizontal="justify" vertical="top"/>
      <protection hidden="1"/>
    </xf>
    <xf numFmtId="0" fontId="19" fillId="0" borderId="0" xfId="0" applyFont="1" applyAlignment="1" applyProtection="1">
      <alignment/>
      <protection hidden="1"/>
    </xf>
    <xf numFmtId="39" fontId="19" fillId="0" borderId="19" xfId="0" applyNumberFormat="1" applyFont="1" applyBorder="1" applyAlignment="1" applyProtection="1">
      <alignment horizontal="right"/>
      <protection hidden="1"/>
    </xf>
    <xf numFmtId="39" fontId="20" fillId="0" borderId="19" xfId="0" applyNumberFormat="1" applyFont="1" applyBorder="1" applyAlignment="1" applyProtection="1">
      <alignment horizontal="right"/>
      <protection hidden="1"/>
    </xf>
    <xf numFmtId="0" fontId="0" fillId="0" borderId="0" xfId="0" applyBorder="1" applyAlignment="1" applyProtection="1">
      <alignment/>
      <protection hidden="1"/>
    </xf>
    <xf numFmtId="0" fontId="19" fillId="0" borderId="66" xfId="0" applyFont="1" applyBorder="1" applyAlignment="1" applyProtection="1">
      <alignment horizontal="center"/>
      <protection hidden="1"/>
    </xf>
    <xf numFmtId="199" fontId="19" fillId="0" borderId="17" xfId="0" applyNumberFormat="1" applyFont="1" applyBorder="1" applyAlignment="1" applyProtection="1">
      <alignment horizontal="right"/>
      <protection hidden="1"/>
    </xf>
    <xf numFmtId="39" fontId="20" fillId="0" borderId="0" xfId="0" applyNumberFormat="1" applyFont="1" applyBorder="1" applyAlignment="1" applyProtection="1">
      <alignment horizontal="left"/>
      <protection hidden="1"/>
    </xf>
    <xf numFmtId="39" fontId="20" fillId="0" borderId="20" xfId="0" applyNumberFormat="1" applyFont="1" applyBorder="1" applyAlignment="1" applyProtection="1">
      <alignment horizontal="center"/>
      <protection hidden="1"/>
    </xf>
    <xf numFmtId="39" fontId="19" fillId="0" borderId="17" xfId="0" applyNumberFormat="1" applyFont="1" applyBorder="1" applyAlignment="1" applyProtection="1" quotePrefix="1">
      <alignment horizontal="right"/>
      <protection hidden="1"/>
    </xf>
    <xf numFmtId="39" fontId="19" fillId="0" borderId="19" xfId="0" applyNumberFormat="1" applyFont="1" applyBorder="1" applyAlignment="1" applyProtection="1" quotePrefix="1">
      <alignment horizontal="right"/>
      <protection hidden="1"/>
    </xf>
    <xf numFmtId="39" fontId="20" fillId="0" borderId="17" xfId="0" applyNumberFormat="1" applyFont="1" applyBorder="1" applyAlignment="1" applyProtection="1" quotePrefix="1">
      <alignment horizontal="right"/>
      <protection hidden="1"/>
    </xf>
    <xf numFmtId="39" fontId="19" fillId="0" borderId="0" xfId="0" applyNumberFormat="1" applyFont="1" applyBorder="1" applyAlignment="1" applyProtection="1" quotePrefix="1">
      <alignment horizontal="right"/>
      <protection hidden="1"/>
    </xf>
    <xf numFmtId="39" fontId="19" fillId="0" borderId="20" xfId="0" applyNumberFormat="1" applyFont="1" applyBorder="1" applyAlignment="1" applyProtection="1">
      <alignment horizontal="right"/>
      <protection hidden="1"/>
    </xf>
    <xf numFmtId="0" fontId="31" fillId="0" borderId="33" xfId="0" applyFont="1" applyBorder="1" applyAlignment="1" applyProtection="1">
      <alignment/>
      <protection hidden="1"/>
    </xf>
    <xf numFmtId="10" fontId="20" fillId="0" borderId="16" xfId="0" applyNumberFormat="1" applyFont="1" applyBorder="1" applyAlignment="1" applyProtection="1">
      <alignment horizontal="right"/>
      <protection hidden="1"/>
    </xf>
    <xf numFmtId="10" fontId="20" fillId="0" borderId="21" xfId="0" applyNumberFormat="1" applyFont="1" applyBorder="1" applyAlignment="1" applyProtection="1">
      <alignment horizontal="right"/>
      <protection hidden="1"/>
    </xf>
    <xf numFmtId="0" fontId="31" fillId="0" borderId="0" xfId="0" applyFont="1" applyAlignment="1" applyProtection="1">
      <alignment/>
      <protection hidden="1"/>
    </xf>
    <xf numFmtId="0" fontId="20" fillId="0" borderId="0" xfId="0" applyFont="1" applyAlignment="1" applyProtection="1">
      <alignment/>
      <protection hidden="1"/>
    </xf>
    <xf numFmtId="0" fontId="22" fillId="0" borderId="53" xfId="0" applyFont="1" applyBorder="1" applyAlignment="1" applyProtection="1">
      <alignment horizontal="center"/>
      <protection hidden="1"/>
    </xf>
    <xf numFmtId="0" fontId="0" fillId="0" borderId="13" xfId="0" applyFont="1" applyBorder="1" applyAlignment="1" applyProtection="1">
      <alignment/>
      <protection hidden="1"/>
    </xf>
    <xf numFmtId="0" fontId="0" fillId="0" borderId="20" xfId="0" applyFont="1" applyBorder="1" applyAlignment="1" applyProtection="1">
      <alignment/>
      <protection hidden="1"/>
    </xf>
    <xf numFmtId="3" fontId="0" fillId="0" borderId="13" xfId="0" applyNumberFormat="1" applyFont="1" applyBorder="1" applyAlignment="1" applyProtection="1">
      <alignment/>
      <protection hidden="1"/>
    </xf>
    <xf numFmtId="4" fontId="0" fillId="0" borderId="19" xfId="0" applyNumberFormat="1" applyFont="1" applyBorder="1" applyAlignment="1" applyProtection="1">
      <alignment/>
      <protection hidden="1"/>
    </xf>
    <xf numFmtId="0" fontId="0" fillId="0" borderId="13" xfId="0" applyFont="1" applyBorder="1" applyAlignment="1" applyProtection="1">
      <alignment horizontal="left"/>
      <protection hidden="1"/>
    </xf>
    <xf numFmtId="4" fontId="0" fillId="0" borderId="19" xfId="0" applyNumberFormat="1" applyFont="1" applyBorder="1" applyAlignment="1" applyProtection="1">
      <alignment/>
      <protection hidden="1"/>
    </xf>
    <xf numFmtId="0" fontId="22" fillId="0" borderId="13" xfId="0" applyFont="1" applyBorder="1" applyAlignment="1" applyProtection="1">
      <alignment horizontal="center"/>
      <protection hidden="1"/>
    </xf>
    <xf numFmtId="4" fontId="22" fillId="0" borderId="19" xfId="0" applyNumberFormat="1" applyFont="1" applyBorder="1" applyAlignment="1" applyProtection="1">
      <alignment/>
      <protection hidden="1"/>
    </xf>
    <xf numFmtId="0" fontId="0" fillId="0" borderId="13" xfId="0" applyFont="1" applyBorder="1" applyAlignment="1" applyProtection="1">
      <alignment horizontal="center"/>
      <protection hidden="1"/>
    </xf>
    <xf numFmtId="4" fontId="0" fillId="0" borderId="20" xfId="0" applyNumberFormat="1" applyFont="1" applyBorder="1" applyAlignment="1" applyProtection="1">
      <alignment/>
      <protection hidden="1"/>
    </xf>
    <xf numFmtId="0" fontId="0" fillId="0" borderId="13" xfId="0" applyFont="1" applyBorder="1" applyAlignment="1" applyProtection="1">
      <alignment/>
      <protection hidden="1"/>
    </xf>
    <xf numFmtId="3" fontId="0" fillId="0" borderId="13" xfId="0" applyNumberFormat="1" applyFont="1" applyBorder="1" applyAlignment="1" applyProtection="1">
      <alignment horizontal="center"/>
      <protection hidden="1"/>
    </xf>
    <xf numFmtId="4" fontId="22" fillId="0" borderId="20" xfId="0" applyNumberFormat="1" applyFont="1" applyBorder="1" applyAlignment="1" applyProtection="1">
      <alignment/>
      <protection hidden="1"/>
    </xf>
    <xf numFmtId="0" fontId="31" fillId="0" borderId="0" xfId="0" applyFont="1" applyBorder="1" applyAlignment="1" applyProtection="1">
      <alignment horizontal="center"/>
      <protection hidden="1"/>
    </xf>
    <xf numFmtId="0" fontId="22" fillId="0" borderId="13" xfId="0" applyFont="1" applyBorder="1" applyAlignment="1" applyProtection="1">
      <alignment/>
      <protection hidden="1"/>
    </xf>
    <xf numFmtId="39" fontId="22" fillId="0" borderId="19" xfId="0" applyNumberFormat="1" applyFont="1" applyBorder="1" applyAlignment="1" applyProtection="1">
      <alignment/>
      <protection hidden="1"/>
    </xf>
    <xf numFmtId="10" fontId="22" fillId="0" borderId="19" xfId="0" applyNumberFormat="1" applyFont="1" applyBorder="1" applyAlignment="1" applyProtection="1">
      <alignment horizontal="right"/>
      <protection hidden="1"/>
    </xf>
    <xf numFmtId="3" fontId="0" fillId="0" borderId="13" xfId="0" applyNumberFormat="1" applyFont="1" applyBorder="1" applyAlignment="1" applyProtection="1">
      <alignment/>
      <protection hidden="1"/>
    </xf>
    <xf numFmtId="3" fontId="22" fillId="0" borderId="13" xfId="0" applyNumberFormat="1" applyFont="1" applyBorder="1" applyAlignment="1" applyProtection="1">
      <alignment/>
      <protection hidden="1"/>
    </xf>
    <xf numFmtId="0" fontId="20" fillId="0" borderId="23" xfId="0" applyFont="1" applyBorder="1" applyAlignment="1" applyProtection="1">
      <alignment horizontal="left"/>
      <protection hidden="1"/>
    </xf>
    <xf numFmtId="0" fontId="19" fillId="0" borderId="10" xfId="0" applyFont="1" applyBorder="1" applyAlignment="1" applyProtection="1">
      <alignment/>
      <protection hidden="1"/>
    </xf>
    <xf numFmtId="0" fontId="19" fillId="0" borderId="11" xfId="0" applyFont="1" applyBorder="1" applyAlignment="1" applyProtection="1">
      <alignment/>
      <protection hidden="1"/>
    </xf>
    <xf numFmtId="3" fontId="19" fillId="0" borderId="23" xfId="0" applyNumberFormat="1" applyFont="1" applyBorder="1" applyAlignment="1" applyProtection="1">
      <alignment/>
      <protection hidden="1"/>
    </xf>
    <xf numFmtId="0" fontId="20" fillId="0" borderId="10" xfId="0" applyFont="1" applyBorder="1" applyAlignment="1" applyProtection="1">
      <alignment/>
      <protection hidden="1"/>
    </xf>
    <xf numFmtId="3" fontId="19" fillId="0" borderId="0" xfId="0" applyNumberFormat="1" applyFont="1" applyAlignment="1" applyProtection="1">
      <alignment/>
      <protection hidden="1"/>
    </xf>
    <xf numFmtId="0" fontId="35" fillId="0" borderId="0" xfId="0" applyFont="1" applyBorder="1" applyAlignment="1" applyProtection="1">
      <alignment horizontal="left"/>
      <protection hidden="1"/>
    </xf>
    <xf numFmtId="0" fontId="19" fillId="0" borderId="0" xfId="0" applyFont="1" applyAlignment="1" applyProtection="1">
      <alignment horizontal="center"/>
      <protection hidden="1"/>
    </xf>
    <xf numFmtId="4" fontId="22" fillId="0" borderId="19" xfId="0" applyNumberFormat="1" applyFont="1" applyBorder="1" applyAlignment="1" applyProtection="1">
      <alignment/>
      <protection hidden="1"/>
    </xf>
    <xf numFmtId="0" fontId="22" fillId="0" borderId="53" xfId="0" applyFont="1" applyBorder="1" applyAlignment="1" applyProtection="1">
      <alignment horizontal="center" wrapText="1"/>
      <protection hidden="1"/>
    </xf>
    <xf numFmtId="39" fontId="22" fillId="0" borderId="20" xfId="0" applyNumberFormat="1" applyFont="1" applyBorder="1" applyAlignment="1" applyProtection="1">
      <alignment/>
      <protection hidden="1"/>
    </xf>
    <xf numFmtId="10" fontId="22" fillId="0" borderId="20" xfId="0" applyNumberFormat="1" applyFont="1" applyBorder="1" applyAlignment="1" applyProtection="1">
      <alignment horizontal="right"/>
      <protection hidden="1"/>
    </xf>
    <xf numFmtId="4" fontId="0" fillId="0" borderId="20" xfId="0" applyNumberFormat="1" applyFont="1" applyBorder="1" applyAlignment="1" applyProtection="1">
      <alignment/>
      <protection hidden="1"/>
    </xf>
    <xf numFmtId="10" fontId="22" fillId="0" borderId="19" xfId="0" applyNumberFormat="1" applyFont="1" applyBorder="1" applyAlignment="1" applyProtection="1">
      <alignment/>
      <protection hidden="1"/>
    </xf>
    <xf numFmtId="0" fontId="80" fillId="30" borderId="0" xfId="0" applyFont="1" applyFill="1" applyAlignment="1" applyProtection="1">
      <alignment/>
      <protection hidden="1"/>
    </xf>
    <xf numFmtId="0" fontId="83" fillId="30" borderId="0" xfId="0" applyFont="1" applyFill="1" applyAlignment="1" applyProtection="1">
      <alignment/>
      <protection hidden="1"/>
    </xf>
    <xf numFmtId="10" fontId="9" fillId="0" borderId="65" xfId="0" applyNumberFormat="1" applyFont="1" applyBorder="1" applyAlignment="1" applyProtection="1">
      <alignment horizontal="right"/>
      <protection hidden="1"/>
    </xf>
    <xf numFmtId="10" fontId="9" fillId="0" borderId="64" xfId="0" applyNumberFormat="1" applyFont="1" applyBorder="1" applyAlignment="1" applyProtection="1">
      <alignment horizontal="right"/>
      <protection hidden="1"/>
    </xf>
    <xf numFmtId="10" fontId="9" fillId="0" borderId="67" xfId="0" applyNumberFormat="1" applyFont="1" applyBorder="1" applyAlignment="1" applyProtection="1">
      <alignment horizontal="right"/>
      <protection hidden="1"/>
    </xf>
    <xf numFmtId="199" fontId="20" fillId="0" borderId="17" xfId="0" applyNumberFormat="1" applyFont="1" applyBorder="1" applyAlignment="1" applyProtection="1">
      <alignment horizontal="right"/>
      <protection hidden="1"/>
    </xf>
    <xf numFmtId="199" fontId="20" fillId="0" borderId="19" xfId="0" applyNumberFormat="1" applyFont="1" applyBorder="1" applyAlignment="1" applyProtection="1">
      <alignment horizontal="right"/>
      <protection hidden="1"/>
    </xf>
    <xf numFmtId="199" fontId="19" fillId="0" borderId="19" xfId="0" applyNumberFormat="1" applyFont="1" applyBorder="1" applyAlignment="1" applyProtection="1">
      <alignment horizontal="right"/>
      <protection hidden="1"/>
    </xf>
    <xf numFmtId="39" fontId="19" fillId="0" borderId="53" xfId="0" applyNumberFormat="1" applyFont="1" applyBorder="1" applyAlignment="1" applyProtection="1">
      <alignment horizontal="right"/>
      <protection hidden="1"/>
    </xf>
    <xf numFmtId="39" fontId="20" fillId="0" borderId="29" xfId="0" applyNumberFormat="1" applyFont="1" applyBorder="1" applyAlignment="1" applyProtection="1">
      <alignment horizontal="right"/>
      <protection hidden="1"/>
    </xf>
    <xf numFmtId="39" fontId="19" fillId="0" borderId="28" xfId="0" applyNumberFormat="1" applyFont="1" applyBorder="1" applyAlignment="1" applyProtection="1">
      <alignment horizontal="right"/>
      <protection hidden="1"/>
    </xf>
    <xf numFmtId="39" fontId="20" fillId="0" borderId="17" xfId="0" applyNumberFormat="1" applyFont="1" applyBorder="1" applyAlignment="1" applyProtection="1">
      <alignment horizontal="right"/>
      <protection hidden="1"/>
    </xf>
    <xf numFmtId="39" fontId="19" fillId="0" borderId="34" xfId="0" applyNumberFormat="1" applyFont="1" applyBorder="1" applyAlignment="1" applyProtection="1">
      <alignment horizontal="right"/>
      <protection hidden="1"/>
    </xf>
    <xf numFmtId="39" fontId="20" fillId="0" borderId="28" xfId="0" applyNumberFormat="1" applyFont="1" applyBorder="1" applyAlignment="1" applyProtection="1">
      <alignment horizontal="right"/>
      <protection hidden="1"/>
    </xf>
    <xf numFmtId="39" fontId="19" fillId="0" borderId="17" xfId="0" applyNumberFormat="1" applyFont="1" applyBorder="1" applyAlignment="1" applyProtection="1">
      <alignment horizontal="right"/>
      <protection hidden="1"/>
    </xf>
    <xf numFmtId="39" fontId="19" fillId="0" borderId="19" xfId="0" applyNumberFormat="1" applyFont="1" applyBorder="1" applyAlignment="1" applyProtection="1">
      <alignment horizontal="right"/>
      <protection hidden="1"/>
    </xf>
    <xf numFmtId="0" fontId="22" fillId="0" borderId="0" xfId="0" applyFont="1" applyAlignment="1" applyProtection="1">
      <alignment horizontal="left"/>
      <protection hidden="1"/>
    </xf>
    <xf numFmtId="0" fontId="20" fillId="0" borderId="18" xfId="0" applyFont="1" applyBorder="1" applyAlignment="1" applyProtection="1">
      <alignment horizontal="center" wrapText="1"/>
      <protection hidden="1"/>
    </xf>
    <xf numFmtId="0" fontId="20" fillId="0" borderId="31" xfId="0" applyFont="1" applyBorder="1" applyAlignment="1" applyProtection="1">
      <alignment horizontal="center" wrapText="1"/>
      <protection hidden="1"/>
    </xf>
    <xf numFmtId="0" fontId="20" fillId="0" borderId="43" xfId="0" applyFont="1" applyBorder="1" applyAlignment="1" applyProtection="1">
      <alignment horizontal="center" wrapText="1"/>
      <protection hidden="1"/>
    </xf>
    <xf numFmtId="0" fontId="20" fillId="0" borderId="11" xfId="0" applyFont="1" applyBorder="1" applyAlignment="1" applyProtection="1">
      <alignment horizontal="center" wrapText="1"/>
      <protection hidden="1"/>
    </xf>
    <xf numFmtId="0" fontId="20" fillId="0" borderId="0" xfId="0" applyFont="1" applyAlignment="1" applyProtection="1">
      <alignment/>
      <protection hidden="1"/>
    </xf>
    <xf numFmtId="49" fontId="19" fillId="0" borderId="0" xfId="0" applyNumberFormat="1" applyFont="1" applyAlignment="1" applyProtection="1">
      <alignment horizontal="center"/>
      <protection hidden="1"/>
    </xf>
    <xf numFmtId="0" fontId="19" fillId="0" borderId="0" xfId="0" applyFont="1" applyAlignment="1" applyProtection="1">
      <alignment horizontal="justify" vertical="justify" wrapText="1"/>
      <protection hidden="1"/>
    </xf>
    <xf numFmtId="0" fontId="0" fillId="0" borderId="0" xfId="0" applyFont="1" applyAlignment="1" applyProtection="1">
      <alignment horizontal="justify" vertical="justify" wrapText="1"/>
      <protection hidden="1"/>
    </xf>
    <xf numFmtId="0" fontId="19" fillId="0" borderId="17" xfId="0" applyFont="1" applyBorder="1" applyAlignment="1" applyProtection="1">
      <alignment horizontal="center"/>
      <protection hidden="1"/>
    </xf>
    <xf numFmtId="219" fontId="19" fillId="0" borderId="0" xfId="0" applyNumberFormat="1" applyFont="1" applyAlignment="1" applyProtection="1">
      <alignment horizontal="center"/>
      <protection hidden="1"/>
    </xf>
    <xf numFmtId="0" fontId="0" fillId="0" borderId="0" xfId="0" applyNumberFormat="1" applyFont="1" applyAlignment="1" applyProtection="1">
      <alignment/>
      <protection hidden="1"/>
    </xf>
    <xf numFmtId="0" fontId="0" fillId="0" borderId="0" xfId="0" applyAlignment="1" applyProtection="1">
      <alignment horizontal="center"/>
      <protection hidden="1"/>
    </xf>
    <xf numFmtId="0" fontId="0" fillId="0" borderId="0" xfId="0" applyAlignment="1" applyProtection="1">
      <alignment wrapText="1"/>
      <protection hidden="1"/>
    </xf>
    <xf numFmtId="0" fontId="0" fillId="0" borderId="0" xfId="0" applyAlignment="1" applyProtection="1">
      <alignment horizontal="justify"/>
      <protection hidden="1"/>
    </xf>
    <xf numFmtId="0" fontId="25" fillId="0" borderId="0" xfId="0" applyFont="1" applyAlignment="1" applyProtection="1">
      <alignment horizontal="justify"/>
      <protection hidden="1"/>
    </xf>
    <xf numFmtId="39" fontId="19" fillId="0" borderId="21" xfId="0" applyNumberFormat="1" applyFont="1" applyBorder="1" applyAlignment="1" applyProtection="1">
      <alignment horizontal="right"/>
      <protection hidden="1"/>
    </xf>
    <xf numFmtId="0" fontId="84" fillId="0" borderId="0" xfId="0" applyFont="1" applyAlignment="1" applyProtection="1">
      <alignment horizontal="center"/>
      <protection hidden="1"/>
    </xf>
    <xf numFmtId="0" fontId="84" fillId="0" borderId="0" xfId="0" applyFont="1" applyAlignment="1" applyProtection="1">
      <alignment/>
      <protection hidden="1"/>
    </xf>
    <xf numFmtId="0" fontId="88" fillId="0" borderId="0" xfId="0" applyFont="1" applyAlignment="1" applyProtection="1">
      <alignment/>
      <protection hidden="1"/>
    </xf>
    <xf numFmtId="0" fontId="86" fillId="0" borderId="0" xfId="0" applyFont="1" applyAlignment="1" applyProtection="1">
      <alignment horizontal="center"/>
      <protection hidden="1"/>
    </xf>
    <xf numFmtId="0" fontId="86" fillId="0" borderId="0" xfId="0" applyFont="1" applyAlignment="1" applyProtection="1">
      <alignment/>
      <protection hidden="1"/>
    </xf>
    <xf numFmtId="0" fontId="89" fillId="0" borderId="0" xfId="0" applyFont="1" applyAlignment="1" applyProtection="1">
      <alignment/>
      <protection hidden="1"/>
    </xf>
    <xf numFmtId="0" fontId="90" fillId="0" borderId="0" xfId="0" applyFont="1" applyAlignment="1" applyProtection="1">
      <alignment horizontal="center"/>
      <protection hidden="1"/>
    </xf>
    <xf numFmtId="0" fontId="90" fillId="0" borderId="0" xfId="0" applyFont="1" applyAlignment="1" applyProtection="1">
      <alignment/>
      <protection hidden="1"/>
    </xf>
    <xf numFmtId="0" fontId="91" fillId="0" borderId="0" xfId="0" applyFont="1" applyAlignment="1" applyProtection="1">
      <alignment/>
      <protection hidden="1"/>
    </xf>
    <xf numFmtId="49" fontId="25" fillId="0" borderId="0" xfId="0" applyNumberFormat="1" applyFont="1" applyAlignment="1" applyProtection="1">
      <alignment horizontal="center" vertical="justify"/>
      <protection hidden="1"/>
    </xf>
    <xf numFmtId="0" fontId="19" fillId="0" borderId="37" xfId="0" applyFont="1" applyBorder="1" applyAlignment="1" applyProtection="1">
      <alignment horizontal="center"/>
      <protection hidden="1"/>
    </xf>
    <xf numFmtId="3" fontId="19" fillId="0" borderId="37" xfId="0" applyNumberFormat="1" applyFont="1" applyBorder="1" applyAlignment="1" applyProtection="1">
      <alignment horizontal="center"/>
      <protection locked="0"/>
    </xf>
    <xf numFmtId="0" fontId="10" fillId="0" borderId="68" xfId="0" applyFont="1" applyBorder="1" applyAlignment="1" applyProtection="1">
      <alignment/>
      <protection hidden="1"/>
    </xf>
    <xf numFmtId="0" fontId="9" fillId="0" borderId="60" xfId="0" applyFont="1" applyBorder="1" applyAlignment="1" applyProtection="1">
      <alignment/>
      <protection hidden="1"/>
    </xf>
    <xf numFmtId="4" fontId="9" fillId="0" borderId="22" xfId="0" applyNumberFormat="1" applyFont="1" applyBorder="1" applyAlignment="1" applyProtection="1">
      <alignment/>
      <protection hidden="1"/>
    </xf>
    <xf numFmtId="4" fontId="9" fillId="0" borderId="69" xfId="0" applyNumberFormat="1" applyFont="1" applyBorder="1" applyAlignment="1" applyProtection="1">
      <alignment/>
      <protection hidden="1"/>
    </xf>
    <xf numFmtId="0" fontId="9" fillId="0" borderId="70" xfId="0" applyFont="1" applyBorder="1" applyAlignment="1" applyProtection="1">
      <alignment/>
      <protection hidden="1"/>
    </xf>
    <xf numFmtId="0" fontId="9" fillId="0" borderId="71" xfId="0" applyFont="1" applyBorder="1" applyAlignment="1" applyProtection="1">
      <alignment/>
      <protection hidden="1"/>
    </xf>
    <xf numFmtId="4" fontId="9" fillId="0" borderId="17" xfId="0" applyNumberFormat="1" applyFont="1" applyBorder="1" applyAlignment="1" applyProtection="1">
      <alignment/>
      <protection hidden="1"/>
    </xf>
    <xf numFmtId="0" fontId="19" fillId="0" borderId="17" xfId="0" applyFont="1" applyBorder="1" applyAlignment="1" applyProtection="1">
      <alignment/>
      <protection hidden="1"/>
    </xf>
    <xf numFmtId="4" fontId="9" fillId="0" borderId="71" xfId="0" applyNumberFormat="1" applyFont="1" applyBorder="1" applyAlignment="1" applyProtection="1">
      <alignment/>
      <protection hidden="1"/>
    </xf>
    <xf numFmtId="0" fontId="19" fillId="0" borderId="71" xfId="0" applyFont="1" applyBorder="1" applyAlignment="1" applyProtection="1">
      <alignment/>
      <protection hidden="1"/>
    </xf>
    <xf numFmtId="0" fontId="9" fillId="0" borderId="72" xfId="0" applyFont="1" applyBorder="1" applyAlignment="1" applyProtection="1">
      <alignment/>
      <protection hidden="1"/>
    </xf>
    <xf numFmtId="0" fontId="9" fillId="0" borderId="17" xfId="0" applyFont="1" applyBorder="1" applyAlignment="1" applyProtection="1">
      <alignment/>
      <protection hidden="1"/>
    </xf>
    <xf numFmtId="0" fontId="9" fillId="0" borderId="73" xfId="0" applyFont="1" applyBorder="1" applyAlignment="1" applyProtection="1">
      <alignment/>
      <protection hidden="1"/>
    </xf>
    <xf numFmtId="0" fontId="9" fillId="0" borderId="74" xfId="0" applyFont="1" applyBorder="1" applyAlignment="1" applyProtection="1">
      <alignment/>
      <protection hidden="1"/>
    </xf>
    <xf numFmtId="0" fontId="19" fillId="0" borderId="74" xfId="0" applyFont="1" applyBorder="1" applyAlignment="1" applyProtection="1">
      <alignment/>
      <protection hidden="1"/>
    </xf>
    <xf numFmtId="0" fontId="19" fillId="0" borderId="69" xfId="0" applyFont="1" applyBorder="1" applyAlignment="1" applyProtection="1">
      <alignment/>
      <protection hidden="1"/>
    </xf>
    <xf numFmtId="0" fontId="9" fillId="0" borderId="0" xfId="0" applyFont="1" applyAlignment="1" applyProtection="1">
      <alignment horizontal="right"/>
      <protection hidden="1"/>
    </xf>
    <xf numFmtId="0" fontId="0" fillId="0" borderId="0" xfId="0" applyAlignment="1" applyProtection="1">
      <alignment horizontal="right"/>
      <protection hidden="1"/>
    </xf>
    <xf numFmtId="0" fontId="2" fillId="0" borderId="0" xfId="0" applyFont="1" applyAlignment="1" applyProtection="1">
      <alignment/>
      <protection hidden="1"/>
    </xf>
    <xf numFmtId="0" fontId="9" fillId="0" borderId="0" xfId="0" applyFont="1" applyAlignment="1" applyProtection="1">
      <alignment horizontal="left"/>
      <protection hidden="1"/>
    </xf>
    <xf numFmtId="0" fontId="9" fillId="0" borderId="0" xfId="0" applyFont="1" applyAlignment="1" applyProtection="1">
      <alignment horizontal="center"/>
      <protection hidden="1"/>
    </xf>
    <xf numFmtId="0" fontId="9" fillId="0" borderId="0" xfId="0" applyFont="1" applyBorder="1" applyAlignment="1" applyProtection="1">
      <alignment horizontal="center"/>
      <protection hidden="1"/>
    </xf>
    <xf numFmtId="0" fontId="0" fillId="0" borderId="0" xfId="0" applyAlignment="1" applyProtection="1">
      <alignment horizontal="center"/>
      <protection hidden="1"/>
    </xf>
    <xf numFmtId="0" fontId="9" fillId="0" borderId="0" xfId="0" applyFont="1" applyAlignment="1" applyProtection="1">
      <alignment horizontal="center"/>
      <protection locked="0"/>
    </xf>
    <xf numFmtId="0" fontId="3" fillId="0" borderId="0" xfId="0" applyFont="1" applyAlignment="1" applyProtection="1">
      <alignment horizontal="center"/>
      <protection locked="0"/>
    </xf>
    <xf numFmtId="0" fontId="9" fillId="0" borderId="0" xfId="0" applyFont="1" applyBorder="1" applyAlignment="1" applyProtection="1">
      <alignment horizontal="center"/>
      <protection locked="0"/>
    </xf>
    <xf numFmtId="0" fontId="0" fillId="0" borderId="0" xfId="0" applyAlignment="1" applyProtection="1">
      <alignment horizontal="center"/>
      <protection locked="0"/>
    </xf>
    <xf numFmtId="0" fontId="2" fillId="0" borderId="0" xfId="0" applyFont="1" applyAlignment="1" applyProtection="1">
      <alignment horizontal="center"/>
      <protection hidden="1"/>
    </xf>
    <xf numFmtId="0" fontId="0" fillId="0" borderId="0" xfId="0" applyAlignment="1">
      <alignment/>
    </xf>
    <xf numFmtId="0" fontId="10" fillId="0" borderId="0" xfId="0" applyFont="1" applyAlignment="1" applyProtection="1">
      <alignment horizontal="center"/>
      <protection hidden="1"/>
    </xf>
    <xf numFmtId="0" fontId="3" fillId="0" borderId="0" xfId="0" applyFont="1" applyAlignment="1" applyProtection="1">
      <alignment horizontal="center"/>
      <protection hidden="1"/>
    </xf>
    <xf numFmtId="0" fontId="3" fillId="0" borderId="0" xfId="0" applyFont="1" applyAlignment="1" applyProtection="1">
      <alignment horizontal="left"/>
      <protection hidden="1"/>
    </xf>
    <xf numFmtId="0" fontId="6" fillId="0" borderId="0" xfId="0" applyFont="1" applyAlignment="1" applyProtection="1">
      <alignment horizontal="right"/>
      <protection hidden="1"/>
    </xf>
    <xf numFmtId="0" fontId="8" fillId="0" borderId="0" xfId="0" applyFont="1" applyAlignment="1" applyProtection="1">
      <alignment horizontal="center"/>
      <protection hidden="1"/>
    </xf>
    <xf numFmtId="0" fontId="25" fillId="0" borderId="0" xfId="0" applyFont="1" applyAlignment="1" applyProtection="1">
      <alignment horizontal="justify" wrapText="1"/>
      <protection hidden="1"/>
    </xf>
    <xf numFmtId="0" fontId="13" fillId="0" borderId="0" xfId="0" applyFont="1" applyAlignment="1" applyProtection="1">
      <alignment horizontal="center"/>
      <protection hidden="1"/>
    </xf>
    <xf numFmtId="0" fontId="14" fillId="0" borderId="0" xfId="0" applyFont="1" applyAlignment="1" applyProtection="1">
      <alignment horizontal="center"/>
      <protection hidden="1"/>
    </xf>
    <xf numFmtId="0" fontId="0" fillId="0" borderId="0" xfId="0" applyAlignment="1">
      <alignment wrapText="1"/>
    </xf>
    <xf numFmtId="0" fontId="25" fillId="0" borderId="11" xfId="0" applyFont="1" applyBorder="1" applyAlignment="1" applyProtection="1">
      <alignment horizontal="justify"/>
      <protection hidden="1"/>
    </xf>
    <xf numFmtId="0" fontId="24" fillId="0" borderId="0" xfId="0" applyFont="1" applyBorder="1" applyAlignment="1" applyProtection="1">
      <alignment horizontal="justify" wrapText="1"/>
      <protection hidden="1"/>
    </xf>
    <xf numFmtId="0" fontId="0" fillId="0" borderId="0" xfId="0" applyAlignment="1" applyProtection="1">
      <alignment horizontal="justify" wrapText="1"/>
      <protection hidden="1"/>
    </xf>
    <xf numFmtId="0" fontId="25" fillId="0" borderId="13" xfId="0" applyFont="1" applyBorder="1" applyAlignment="1" applyProtection="1">
      <alignment horizontal="justify"/>
      <protection hidden="1"/>
    </xf>
    <xf numFmtId="0" fontId="25" fillId="0" borderId="0" xfId="0" applyFont="1" applyBorder="1" applyAlignment="1" applyProtection="1">
      <alignment horizontal="justify"/>
      <protection hidden="1"/>
    </xf>
    <xf numFmtId="0" fontId="25" fillId="0" borderId="20" xfId="0" applyFont="1" applyBorder="1" applyAlignment="1" applyProtection="1">
      <alignment horizontal="justify"/>
      <protection hidden="1"/>
    </xf>
    <xf numFmtId="0" fontId="25" fillId="0" borderId="23" xfId="0" applyFont="1" applyBorder="1" applyAlignment="1" applyProtection="1">
      <alignment horizontal="justify"/>
      <protection hidden="1"/>
    </xf>
    <xf numFmtId="0" fontId="25" fillId="0" borderId="10" xfId="0" applyFont="1" applyBorder="1" applyAlignment="1" applyProtection="1">
      <alignment horizontal="justify"/>
      <protection hidden="1"/>
    </xf>
    <xf numFmtId="0" fontId="25" fillId="0" borderId="20" xfId="0" applyFont="1" applyBorder="1" applyAlignment="1" applyProtection="1">
      <alignment horizontal="justify" wrapText="1"/>
      <protection hidden="1"/>
    </xf>
    <xf numFmtId="0" fontId="25" fillId="0" borderId="15" xfId="0" applyFont="1" applyBorder="1" applyAlignment="1" applyProtection="1">
      <alignment horizontal="justify" wrapText="1"/>
      <protection hidden="1"/>
    </xf>
    <xf numFmtId="0" fontId="25" fillId="0" borderId="18" xfId="0" applyFont="1" applyBorder="1" applyAlignment="1" applyProtection="1">
      <alignment horizontal="justify" wrapText="1"/>
      <protection hidden="1"/>
    </xf>
    <xf numFmtId="0" fontId="25" fillId="0" borderId="13" xfId="0" applyFont="1" applyBorder="1" applyAlignment="1" applyProtection="1">
      <alignment horizontal="justify" wrapText="1"/>
      <protection hidden="1"/>
    </xf>
    <xf numFmtId="0" fontId="25" fillId="0" borderId="0" xfId="0" applyFont="1" applyBorder="1" applyAlignment="1" applyProtection="1">
      <alignment horizontal="justify" wrapText="1"/>
      <protection hidden="1"/>
    </xf>
    <xf numFmtId="0" fontId="24" fillId="0" borderId="0" xfId="0" applyFont="1" applyAlignment="1" applyProtection="1">
      <alignment horizontal="justify" wrapText="1"/>
      <protection hidden="1"/>
    </xf>
    <xf numFmtId="0" fontId="24" fillId="0" borderId="0" xfId="0" applyFont="1" applyAlignment="1" applyProtection="1">
      <alignment/>
      <protection hidden="1"/>
    </xf>
    <xf numFmtId="0" fontId="0" fillId="0" borderId="0" xfId="0" applyAlignment="1" applyProtection="1">
      <alignment/>
      <protection hidden="1"/>
    </xf>
    <xf numFmtId="0" fontId="24" fillId="0" borderId="0" xfId="0" applyFont="1" applyAlignment="1" applyProtection="1">
      <alignment horizontal="justify" vertical="center" wrapText="1"/>
      <protection hidden="1"/>
    </xf>
    <xf numFmtId="49" fontId="24" fillId="0" borderId="0" xfId="0" applyNumberFormat="1" applyFont="1" applyAlignment="1" applyProtection="1">
      <alignment horizontal="justify" wrapText="1"/>
      <protection hidden="1"/>
    </xf>
    <xf numFmtId="0" fontId="24" fillId="0" borderId="0" xfId="0" applyNumberFormat="1" applyFont="1" applyAlignment="1" applyProtection="1">
      <alignment horizontal="justify" wrapText="1"/>
      <protection hidden="1"/>
    </xf>
    <xf numFmtId="0" fontId="27" fillId="0" borderId="0" xfId="0" applyFont="1" applyAlignment="1" applyProtection="1">
      <alignment horizontal="justify" wrapText="1"/>
      <protection hidden="1"/>
    </xf>
    <xf numFmtId="0" fontId="24" fillId="0" borderId="0" xfId="0" applyFont="1" applyAlignment="1" applyProtection="1">
      <alignment horizontal="justify"/>
      <protection hidden="1"/>
    </xf>
    <xf numFmtId="0" fontId="25" fillId="0" borderId="0" xfId="0" applyFont="1" applyAlignment="1" applyProtection="1">
      <alignment horizontal="justify" vertical="justify" wrapText="1"/>
      <protection hidden="1"/>
    </xf>
    <xf numFmtId="0" fontId="25" fillId="0" borderId="14" xfId="0" applyFont="1" applyBorder="1" applyAlignment="1" applyProtection="1">
      <alignment horizontal="justify" wrapText="1"/>
      <protection hidden="1"/>
    </xf>
    <xf numFmtId="0" fontId="0" fillId="0" borderId="0" xfId="0" applyAlignment="1" applyProtection="1">
      <alignment horizontal="justify"/>
      <protection hidden="1"/>
    </xf>
    <xf numFmtId="0" fontId="25" fillId="0" borderId="0" xfId="0" applyFont="1" applyAlignment="1" applyProtection="1">
      <alignment wrapText="1"/>
      <protection hidden="1"/>
    </xf>
    <xf numFmtId="0" fontId="0" fillId="0" borderId="0" xfId="0" applyAlignment="1" applyProtection="1">
      <alignment wrapText="1"/>
      <protection hidden="1"/>
    </xf>
    <xf numFmtId="0" fontId="0" fillId="0" borderId="0" xfId="0" applyFont="1" applyBorder="1" applyAlignment="1">
      <alignment horizontal="left"/>
    </xf>
    <xf numFmtId="0" fontId="0" fillId="0" borderId="0" xfId="0" applyFont="1" applyAlignment="1">
      <alignment horizontal="left"/>
    </xf>
    <xf numFmtId="0" fontId="0" fillId="0" borderId="12" xfId="0" applyFont="1" applyBorder="1" applyAlignment="1">
      <alignment horizontal="left"/>
    </xf>
    <xf numFmtId="0" fontId="61" fillId="25" borderId="0" xfId="0" applyFont="1" applyFill="1" applyAlignment="1" applyProtection="1">
      <alignment/>
      <protection hidden="1"/>
    </xf>
    <xf numFmtId="0" fontId="0" fillId="25" borderId="0" xfId="0" applyFont="1" applyFill="1" applyAlignment="1" applyProtection="1">
      <alignment/>
      <protection hidden="1"/>
    </xf>
    <xf numFmtId="0" fontId="49" fillId="25" borderId="0" xfId="0" applyFont="1" applyFill="1" applyAlignment="1" applyProtection="1">
      <alignment horizontal="left" vertical="center"/>
      <protection hidden="1"/>
    </xf>
    <xf numFmtId="0" fontId="59" fillId="25" borderId="0" xfId="0" applyFont="1" applyFill="1" applyAlignment="1" applyProtection="1">
      <alignment horizontal="center" vertical="center"/>
      <protection hidden="1"/>
    </xf>
    <xf numFmtId="0" fontId="76" fillId="25" borderId="0" xfId="0" applyFont="1" applyFill="1" applyAlignment="1" applyProtection="1">
      <alignment horizontal="left" vertical="center"/>
      <protection hidden="1"/>
    </xf>
    <xf numFmtId="0" fontId="71" fillId="25" borderId="0" xfId="0" applyFont="1" applyFill="1" applyAlignment="1" applyProtection="1">
      <alignment horizontal="center"/>
      <protection hidden="1"/>
    </xf>
    <xf numFmtId="49" fontId="81" fillId="25" borderId="0" xfId="0" applyNumberFormat="1" applyFont="1" applyFill="1" applyAlignment="1" applyProtection="1">
      <alignment horizontal="left"/>
      <protection hidden="1"/>
    </xf>
    <xf numFmtId="0" fontId="24" fillId="0" borderId="0" xfId="0" applyFont="1" applyAlignment="1" applyProtection="1">
      <alignment wrapText="1"/>
      <protection hidden="1"/>
    </xf>
    <xf numFmtId="0" fontId="25" fillId="0" borderId="0" xfId="0" applyFont="1" applyAlignment="1" applyProtection="1">
      <alignment horizontal="justify"/>
      <protection hidden="1"/>
    </xf>
    <xf numFmtId="0" fontId="9" fillId="0" borderId="0" xfId="0" applyFont="1" applyBorder="1" applyAlignment="1" applyProtection="1">
      <alignment/>
      <protection hidden="1"/>
    </xf>
    <xf numFmtId="0" fontId="19" fillId="0" borderId="60" xfId="0" applyFont="1" applyBorder="1" applyAlignment="1" applyProtection="1">
      <alignment/>
      <protection hidden="1"/>
    </xf>
    <xf numFmtId="0" fontId="10" fillId="0" borderId="75" xfId="0" applyFont="1" applyBorder="1" applyAlignment="1" applyProtection="1">
      <alignment horizontal="center" vertical="center"/>
      <protection hidden="1"/>
    </xf>
    <xf numFmtId="0" fontId="9" fillId="0" borderId="65" xfId="0" applyFont="1" applyBorder="1" applyAlignment="1" applyProtection="1">
      <alignment vertical="center"/>
      <protection hidden="1"/>
    </xf>
    <xf numFmtId="0" fontId="10" fillId="0" borderId="76" xfId="0" applyFont="1" applyBorder="1" applyAlignment="1" applyProtection="1">
      <alignment horizontal="left" vertical="center"/>
      <protection hidden="1"/>
    </xf>
    <xf numFmtId="0" fontId="10" fillId="0" borderId="77" xfId="0" applyFont="1" applyBorder="1" applyAlignment="1" applyProtection="1">
      <alignment horizontal="left" vertical="center"/>
      <protection hidden="1"/>
    </xf>
    <xf numFmtId="0" fontId="19" fillId="0" borderId="77" xfId="0" applyFont="1" applyBorder="1" applyAlignment="1" applyProtection="1">
      <alignment vertical="center"/>
      <protection hidden="1"/>
    </xf>
    <xf numFmtId="0" fontId="9" fillId="0" borderId="70" xfId="0" applyFont="1" applyBorder="1" applyAlignment="1" applyProtection="1">
      <alignment horizontal="left" vertical="center"/>
      <protection hidden="1"/>
    </xf>
    <xf numFmtId="0" fontId="9" fillId="0" borderId="71" xfId="0" applyFont="1" applyBorder="1" applyAlignment="1" applyProtection="1">
      <alignment horizontal="left" vertical="center"/>
      <protection hidden="1"/>
    </xf>
    <xf numFmtId="0" fontId="19" fillId="0" borderId="71" xfId="0" applyFont="1" applyBorder="1" applyAlignment="1" applyProtection="1">
      <alignment vertical="center"/>
      <protection hidden="1"/>
    </xf>
    <xf numFmtId="0" fontId="10" fillId="0" borderId="77" xfId="0" applyFont="1" applyBorder="1" applyAlignment="1" applyProtection="1">
      <alignment horizontal="center" vertical="center"/>
      <protection hidden="1"/>
    </xf>
    <xf numFmtId="0" fontId="19" fillId="0" borderId="77" xfId="0" applyFont="1" applyBorder="1" applyAlignment="1" applyProtection="1">
      <alignment/>
      <protection hidden="1"/>
    </xf>
    <xf numFmtId="4" fontId="9" fillId="0" borderId="78" xfId="0" applyNumberFormat="1" applyFont="1" applyBorder="1" applyAlignment="1" applyProtection="1">
      <alignment/>
      <protection hidden="1"/>
    </xf>
    <xf numFmtId="0" fontId="9" fillId="0" borderId="0" xfId="0" applyFont="1" applyBorder="1" applyAlignment="1" applyProtection="1">
      <alignment horizontal="left" vertical="center"/>
      <protection hidden="1"/>
    </xf>
    <xf numFmtId="0" fontId="9" fillId="0" borderId="0" xfId="0" applyFont="1" applyBorder="1" applyAlignment="1" applyProtection="1">
      <alignment vertical="center"/>
      <protection hidden="1"/>
    </xf>
    <xf numFmtId="0" fontId="10" fillId="0" borderId="68" xfId="0" applyFont="1" applyBorder="1" applyAlignment="1" applyProtection="1">
      <alignment horizontal="left" vertical="center"/>
      <protection hidden="1"/>
    </xf>
    <xf numFmtId="0" fontId="9" fillId="0" borderId="60" xfId="0" applyFont="1" applyBorder="1" applyAlignment="1" applyProtection="1">
      <alignment vertical="center"/>
      <protection hidden="1"/>
    </xf>
    <xf numFmtId="0" fontId="10" fillId="0" borderId="60" xfId="0" applyFont="1" applyBorder="1" applyAlignment="1" applyProtection="1">
      <alignment horizontal="center"/>
      <protection hidden="1"/>
    </xf>
    <xf numFmtId="0" fontId="55" fillId="29" borderId="0" xfId="0" applyFont="1" applyFill="1" applyBorder="1" applyAlignment="1" applyProtection="1">
      <alignment/>
      <protection hidden="1"/>
    </xf>
    <xf numFmtId="0" fontId="0" fillId="29" borderId="0" xfId="0" applyFont="1" applyFill="1" applyAlignment="1" applyProtection="1">
      <alignment/>
      <protection hidden="1"/>
    </xf>
    <xf numFmtId="0" fontId="51" fillId="26" borderId="0" xfId="0" applyFont="1" applyFill="1" applyAlignment="1" applyProtection="1">
      <alignment horizontal="center"/>
      <protection hidden="1"/>
    </xf>
    <xf numFmtId="0" fontId="32" fillId="26" borderId="0" xfId="0" applyFont="1" applyFill="1" applyAlignment="1" applyProtection="1">
      <alignment horizontal="left" vertical="center"/>
      <protection hidden="1"/>
    </xf>
    <xf numFmtId="0" fontId="79" fillId="26" borderId="0" xfId="0" applyFont="1" applyFill="1" applyAlignment="1" applyProtection="1">
      <alignment horizontal="left"/>
      <protection hidden="1"/>
    </xf>
    <xf numFmtId="0" fontId="55" fillId="29" borderId="0" xfId="0" applyFont="1" applyFill="1" applyBorder="1" applyAlignment="1" applyProtection="1">
      <alignment horizontal="left"/>
      <protection hidden="1"/>
    </xf>
    <xf numFmtId="0" fontId="0" fillId="29" borderId="0" xfId="0" applyFont="1" applyFill="1" applyAlignment="1" applyProtection="1">
      <alignment horizontal="left"/>
      <protection hidden="1"/>
    </xf>
    <xf numFmtId="0" fontId="30" fillId="0" borderId="0" xfId="0" applyFont="1" applyBorder="1" applyAlignment="1" applyProtection="1">
      <alignment horizontal="left" vertical="center"/>
      <protection hidden="1"/>
    </xf>
    <xf numFmtId="0" fontId="0" fillId="0" borderId="0" xfId="0" applyAlignment="1">
      <alignment vertical="center"/>
    </xf>
    <xf numFmtId="0" fontId="20" fillId="0" borderId="13" xfId="0" applyFont="1" applyBorder="1" applyAlignment="1" applyProtection="1">
      <alignment horizontal="left"/>
      <protection hidden="1"/>
    </xf>
    <xf numFmtId="0" fontId="20" fillId="0" borderId="0" xfId="0" applyFont="1" applyBorder="1" applyAlignment="1" applyProtection="1">
      <alignment horizontal="left"/>
      <protection hidden="1"/>
    </xf>
    <xf numFmtId="0" fontId="20" fillId="0" borderId="12" xfId="0" applyFont="1" applyBorder="1" applyAlignment="1" applyProtection="1">
      <alignment horizontal="left"/>
      <protection hidden="1"/>
    </xf>
    <xf numFmtId="0" fontId="32" fillId="0" borderId="0" xfId="0" applyFont="1" applyBorder="1" applyAlignment="1" applyProtection="1">
      <alignment horizontal="center"/>
      <protection hidden="1"/>
    </xf>
    <xf numFmtId="0" fontId="32" fillId="0" borderId="0" xfId="0" applyFont="1" applyBorder="1" applyAlignment="1" applyProtection="1" quotePrefix="1">
      <alignment horizontal="center"/>
      <protection hidden="1"/>
    </xf>
    <xf numFmtId="0" fontId="31" fillId="0" borderId="26" xfId="0" applyFont="1" applyBorder="1" applyAlignment="1" applyProtection="1">
      <alignment horizontal="left" vertical="center" wrapText="1"/>
      <protection hidden="1"/>
    </xf>
    <xf numFmtId="0" fontId="31" fillId="0" borderId="32" xfId="0" applyFont="1" applyBorder="1" applyAlignment="1" applyProtection="1">
      <alignment horizontal="left" vertical="center" wrapText="1"/>
      <protection hidden="1"/>
    </xf>
    <xf numFmtId="0" fontId="31" fillId="0" borderId="16" xfId="0" applyFont="1" applyBorder="1" applyAlignment="1" applyProtection="1">
      <alignment horizontal="left" vertical="center" wrapText="1"/>
      <protection hidden="1"/>
    </xf>
    <xf numFmtId="0" fontId="37" fillId="0" borderId="0" xfId="0" applyFont="1" applyBorder="1" applyAlignment="1" applyProtection="1">
      <alignment horizontal="left"/>
      <protection/>
    </xf>
    <xf numFmtId="0" fontId="30" fillId="0" borderId="0" xfId="0" applyFont="1" applyAlignment="1">
      <alignment horizontal="left"/>
    </xf>
    <xf numFmtId="0" fontId="20" fillId="0" borderId="13" xfId="0" applyFont="1" applyBorder="1" applyAlignment="1" applyProtection="1">
      <alignment horizontal="center"/>
      <protection hidden="1"/>
    </xf>
    <xf numFmtId="0" fontId="20" fillId="0" borderId="0" xfId="0" applyFont="1" applyBorder="1" applyAlignment="1" applyProtection="1">
      <alignment horizontal="center"/>
      <protection hidden="1"/>
    </xf>
    <xf numFmtId="0" fontId="20" fillId="0" borderId="33" xfId="0" applyFont="1" applyBorder="1" applyAlignment="1" applyProtection="1">
      <alignment/>
      <protection hidden="1"/>
    </xf>
    <xf numFmtId="0" fontId="20" fillId="0" borderId="44" xfId="0" applyFont="1" applyBorder="1" applyAlignment="1" applyProtection="1">
      <alignment/>
      <protection hidden="1"/>
    </xf>
    <xf numFmtId="0" fontId="20" fillId="0" borderId="32" xfId="0" applyFont="1" applyBorder="1" applyAlignment="1" applyProtection="1">
      <alignment/>
      <protection hidden="1"/>
    </xf>
    <xf numFmtId="0" fontId="31" fillId="0" borderId="44" xfId="0" applyFont="1" applyBorder="1" applyAlignment="1" applyProtection="1">
      <alignment horizontal="left" vertical="center" wrapText="1"/>
      <protection hidden="1"/>
    </xf>
    <xf numFmtId="0" fontId="31" fillId="0" borderId="79" xfId="0" applyFont="1" applyBorder="1" applyAlignment="1" applyProtection="1">
      <alignment horizontal="left" vertical="center" wrapText="1"/>
      <protection hidden="1"/>
    </xf>
    <xf numFmtId="0" fontId="33" fillId="0" borderId="13" xfId="0" applyFont="1" applyBorder="1" applyAlignment="1" applyProtection="1">
      <alignment horizontal="left"/>
      <protection hidden="1"/>
    </xf>
    <xf numFmtId="0" fontId="33" fillId="0" borderId="0" xfId="0" applyFont="1" applyBorder="1" applyAlignment="1" applyProtection="1">
      <alignment horizontal="left"/>
      <protection hidden="1"/>
    </xf>
    <xf numFmtId="0" fontId="19" fillId="0" borderId="32" xfId="0" applyFont="1" applyBorder="1" applyAlignment="1" applyProtection="1">
      <alignment/>
      <protection hidden="1"/>
    </xf>
    <xf numFmtId="0" fontId="43" fillId="0" borderId="44" xfId="0" applyFont="1" applyBorder="1" applyAlignment="1" applyProtection="1">
      <alignment/>
      <protection hidden="1"/>
    </xf>
    <xf numFmtId="0" fontId="44" fillId="0" borderId="44" xfId="0" applyFont="1" applyBorder="1" applyAlignment="1" applyProtection="1">
      <alignment/>
      <protection hidden="1"/>
    </xf>
    <xf numFmtId="0" fontId="20" fillId="0" borderId="26" xfId="0" applyFont="1" applyBorder="1" applyAlignment="1" applyProtection="1">
      <alignment/>
      <protection hidden="1"/>
    </xf>
    <xf numFmtId="0" fontId="20" fillId="0" borderId="16" xfId="0" applyFont="1" applyBorder="1" applyAlignment="1" applyProtection="1">
      <alignment/>
      <protection hidden="1"/>
    </xf>
    <xf numFmtId="0" fontId="19" fillId="0" borderId="13" xfId="0" applyFont="1" applyBorder="1" applyAlignment="1" applyProtection="1">
      <alignment/>
      <protection hidden="1"/>
    </xf>
    <xf numFmtId="0" fontId="19" fillId="0" borderId="0" xfId="0" applyFont="1" applyBorder="1" applyAlignment="1">
      <alignment/>
    </xf>
    <xf numFmtId="0" fontId="19" fillId="0" borderId="12" xfId="0" applyFont="1" applyBorder="1" applyAlignment="1">
      <alignment/>
    </xf>
    <xf numFmtId="0" fontId="20" fillId="0" borderId="14" xfId="0" applyFont="1" applyBorder="1" applyAlignment="1" applyProtection="1">
      <alignment/>
      <protection hidden="1"/>
    </xf>
    <xf numFmtId="0" fontId="19" fillId="0" borderId="15" xfId="0" applyFont="1" applyBorder="1" applyAlignment="1">
      <alignment/>
    </xf>
    <xf numFmtId="0" fontId="19" fillId="0" borderId="13" xfId="0" applyFont="1" applyBorder="1" applyAlignment="1" applyProtection="1">
      <alignment/>
      <protection locked="0"/>
    </xf>
    <xf numFmtId="0" fontId="19" fillId="0" borderId="0" xfId="0" applyFont="1" applyBorder="1" applyAlignment="1" applyProtection="1">
      <alignment/>
      <protection locked="0"/>
    </xf>
    <xf numFmtId="0" fontId="19" fillId="0" borderId="12" xfId="0" applyFont="1" applyBorder="1" applyAlignment="1" applyProtection="1">
      <alignment/>
      <protection locked="0"/>
    </xf>
    <xf numFmtId="0" fontId="19" fillId="0" borderId="13" xfId="0" applyFont="1" applyBorder="1" applyAlignment="1" applyProtection="1">
      <alignment horizontal="left"/>
      <protection hidden="1"/>
    </xf>
    <xf numFmtId="0" fontId="33" fillId="0" borderId="13" xfId="0" applyFont="1" applyBorder="1" applyAlignment="1" applyProtection="1">
      <alignment/>
      <protection hidden="1"/>
    </xf>
    <xf numFmtId="0" fontId="19" fillId="0" borderId="23" xfId="0" applyFont="1" applyBorder="1" applyAlignment="1" applyProtection="1">
      <alignment/>
      <protection locked="0"/>
    </xf>
    <xf numFmtId="0" fontId="19" fillId="0" borderId="10" xfId="0" applyFont="1" applyBorder="1" applyAlignment="1" applyProtection="1">
      <alignment/>
      <protection locked="0"/>
    </xf>
    <xf numFmtId="0" fontId="20" fillId="0" borderId="33" xfId="0" applyFont="1" applyBorder="1" applyAlignment="1" applyProtection="1">
      <alignment horizontal="left"/>
      <protection hidden="1"/>
    </xf>
    <xf numFmtId="0" fontId="20" fillId="0" borderId="32" xfId="0" applyFont="1" applyBorder="1" applyAlignment="1" applyProtection="1">
      <alignment horizontal="left"/>
      <protection hidden="1"/>
    </xf>
    <xf numFmtId="0" fontId="23" fillId="0" borderId="0" xfId="0" applyFont="1" applyBorder="1" applyAlignment="1" applyProtection="1">
      <alignment horizontal="center" vertical="center"/>
      <protection hidden="1"/>
    </xf>
    <xf numFmtId="0" fontId="39" fillId="0" borderId="0" xfId="0" applyFont="1" applyBorder="1" applyAlignment="1" applyProtection="1">
      <alignment horizontal="center" vertical="center"/>
      <protection hidden="1"/>
    </xf>
    <xf numFmtId="0" fontId="20" fillId="0" borderId="14" xfId="0" applyFont="1" applyBorder="1" applyAlignment="1" applyProtection="1">
      <alignment horizontal="center" vertical="center" wrapText="1"/>
      <protection hidden="1"/>
    </xf>
    <xf numFmtId="0" fontId="19" fillId="0" borderId="80" xfId="0" applyFont="1" applyBorder="1" applyAlignment="1">
      <alignment wrapText="1"/>
    </xf>
    <xf numFmtId="0" fontId="19" fillId="0" borderId="13" xfId="0" applyFont="1" applyBorder="1" applyAlignment="1">
      <alignment wrapText="1"/>
    </xf>
    <xf numFmtId="0" fontId="19" fillId="0" borderId="12" xfId="0" applyFont="1" applyBorder="1" applyAlignment="1">
      <alignment wrapText="1"/>
    </xf>
    <xf numFmtId="0" fontId="19" fillId="0" borderId="23" xfId="0" applyFont="1" applyBorder="1" applyAlignment="1">
      <alignment wrapText="1"/>
    </xf>
    <xf numFmtId="0" fontId="19" fillId="0" borderId="52" xfId="0" applyFont="1" applyBorder="1" applyAlignment="1">
      <alignment wrapText="1"/>
    </xf>
    <xf numFmtId="0" fontId="20" fillId="0" borderId="41" xfId="0" applyFont="1" applyBorder="1" applyAlignment="1" applyProtection="1">
      <alignment horizontal="center" vertical="center" wrapText="1"/>
      <protection hidden="1"/>
    </xf>
    <xf numFmtId="0" fontId="20" fillId="0" borderId="35" xfId="0" applyFont="1" applyBorder="1" applyAlignment="1" applyProtection="1">
      <alignment horizontal="center" vertical="center" wrapText="1"/>
      <protection hidden="1"/>
    </xf>
    <xf numFmtId="0" fontId="0" fillId="0" borderId="24" xfId="0" applyFont="1" applyBorder="1" applyAlignment="1" applyProtection="1">
      <alignment horizontal="center" vertical="center" wrapText="1"/>
      <protection hidden="1"/>
    </xf>
    <xf numFmtId="0" fontId="20" fillId="0" borderId="33" xfId="0" applyFont="1" applyBorder="1" applyAlignment="1" applyProtection="1">
      <alignment horizontal="center"/>
      <protection hidden="1"/>
    </xf>
    <xf numFmtId="0" fontId="0" fillId="0" borderId="32" xfId="0" applyBorder="1" applyAlignment="1">
      <alignment horizontal="center"/>
    </xf>
    <xf numFmtId="0" fontId="20" fillId="0" borderId="34" xfId="0" applyFont="1" applyBorder="1" applyAlignment="1" applyProtection="1">
      <alignment horizontal="center" vertical="center" wrapText="1"/>
      <protection hidden="1"/>
    </xf>
    <xf numFmtId="0" fontId="20" fillId="0" borderId="43" xfId="0" applyFont="1" applyBorder="1" applyAlignment="1" applyProtection="1">
      <alignment horizontal="center" vertical="center" wrapText="1"/>
      <protection hidden="1"/>
    </xf>
    <xf numFmtId="0" fontId="20" fillId="0" borderId="36" xfId="0" applyFont="1" applyBorder="1" applyAlignment="1" applyProtection="1">
      <alignment horizontal="center" vertical="center" wrapText="1"/>
      <protection hidden="1"/>
    </xf>
    <xf numFmtId="0" fontId="0" fillId="0" borderId="81" xfId="0" applyFont="1" applyBorder="1" applyAlignment="1">
      <alignment horizontal="center" vertical="center" wrapText="1"/>
    </xf>
    <xf numFmtId="0" fontId="20" fillId="0" borderId="0" xfId="0" applyFont="1" applyBorder="1" applyAlignment="1" applyProtection="1">
      <alignment horizontal="left" vertical="center" wrapText="1"/>
      <protection hidden="1"/>
    </xf>
    <xf numFmtId="0" fontId="0" fillId="0" borderId="0" xfId="0" applyFont="1" applyAlignment="1">
      <alignment horizontal="left" vertical="center" wrapText="1"/>
    </xf>
    <xf numFmtId="0" fontId="20" fillId="0" borderId="53" xfId="0" applyFont="1" applyBorder="1" applyAlignment="1" applyProtection="1">
      <alignment horizontal="center" vertical="center" wrapText="1"/>
      <protection hidden="1"/>
    </xf>
    <xf numFmtId="0" fontId="20" fillId="0" borderId="50" xfId="0" applyFont="1" applyBorder="1" applyAlignment="1" applyProtection="1">
      <alignment horizontal="center" vertical="center" wrapText="1"/>
      <protection hidden="1"/>
    </xf>
    <xf numFmtId="0" fontId="0" fillId="0" borderId="82" xfId="0" applyFont="1" applyBorder="1" applyAlignment="1" applyProtection="1">
      <alignment horizontal="center" vertical="center" wrapText="1"/>
      <protection hidden="1"/>
    </xf>
    <xf numFmtId="0" fontId="19" fillId="0" borderId="0" xfId="0" applyFont="1" applyBorder="1" applyAlignment="1" applyProtection="1">
      <alignment horizontal="center" vertical="center"/>
      <protection hidden="1"/>
    </xf>
    <xf numFmtId="0" fontId="19" fillId="0" borderId="0" xfId="0" applyFont="1" applyBorder="1" applyAlignment="1" applyProtection="1">
      <alignment horizontal="right" vertical="center"/>
      <protection hidden="1"/>
    </xf>
    <xf numFmtId="0" fontId="0" fillId="0" borderId="0" xfId="0" applyFont="1" applyAlignment="1">
      <alignment horizontal="center" vertical="center"/>
    </xf>
    <xf numFmtId="0" fontId="20" fillId="0" borderId="0" xfId="0" applyFont="1" applyBorder="1" applyAlignment="1" applyProtection="1">
      <alignment horizontal="right" vertical="center"/>
      <protection hidden="1"/>
    </xf>
    <xf numFmtId="0" fontId="0" fillId="0" borderId="34" xfId="0" applyFont="1" applyBorder="1" applyAlignment="1" applyProtection="1">
      <alignment horizontal="center" vertical="center" wrapText="1"/>
      <protection hidden="1"/>
    </xf>
    <xf numFmtId="0" fontId="19" fillId="0" borderId="0" xfId="0" applyFont="1" applyAlignment="1" applyProtection="1">
      <alignment horizontal="center" vertical="center"/>
      <protection hidden="1"/>
    </xf>
    <xf numFmtId="0" fontId="20" fillId="0" borderId="0" xfId="0" applyFont="1" applyAlignment="1" applyProtection="1">
      <alignment horizontal="right" vertical="center"/>
      <protection hidden="1"/>
    </xf>
    <xf numFmtId="0" fontId="41" fillId="0" borderId="0" xfId="0" applyFont="1" applyBorder="1" applyAlignment="1" applyProtection="1">
      <alignment horizontal="center" vertical="center"/>
      <protection hidden="1"/>
    </xf>
    <xf numFmtId="0" fontId="20" fillId="0" borderId="0" xfId="0" applyFont="1" applyAlignment="1" applyProtection="1">
      <alignment horizontal="left" vertical="center"/>
      <protection hidden="1"/>
    </xf>
    <xf numFmtId="0" fontId="0" fillId="0" borderId="0" xfId="0" applyAlignment="1">
      <alignment horizontal="left" vertical="center"/>
    </xf>
    <xf numFmtId="0" fontId="0" fillId="0" borderId="36" xfId="0" applyFont="1" applyBorder="1" applyAlignment="1">
      <alignment horizontal="center" vertical="center" wrapText="1"/>
    </xf>
    <xf numFmtId="0" fontId="20" fillId="0" borderId="83" xfId="0" applyFont="1" applyBorder="1" applyAlignment="1" applyProtection="1">
      <alignment horizontal="center" vertical="center"/>
      <protection hidden="1"/>
    </xf>
    <xf numFmtId="0" fontId="0" fillId="0" borderId="84" xfId="0" applyFont="1" applyBorder="1" applyAlignment="1" applyProtection="1">
      <alignment horizontal="center" vertical="center"/>
      <protection hidden="1"/>
    </xf>
    <xf numFmtId="0" fontId="20" fillId="0" borderId="85" xfId="0" applyFont="1" applyBorder="1" applyAlignment="1" applyProtection="1">
      <alignment horizontal="center" vertical="center"/>
      <protection hidden="1"/>
    </xf>
    <xf numFmtId="0" fontId="0" fillId="0" borderId="35" xfId="0" applyFont="1" applyBorder="1" applyAlignment="1" applyProtection="1">
      <alignment horizontal="center" vertical="center"/>
      <protection hidden="1"/>
    </xf>
    <xf numFmtId="0" fontId="0" fillId="0" borderId="86" xfId="0" applyFont="1" applyBorder="1" applyAlignment="1" applyProtection="1">
      <alignment horizontal="center" vertical="center"/>
      <protection hidden="1"/>
    </xf>
    <xf numFmtId="0" fontId="0" fillId="0" borderId="24" xfId="0" applyFont="1" applyBorder="1" applyAlignment="1" applyProtection="1">
      <alignment horizontal="center" vertical="center"/>
      <protection hidden="1"/>
    </xf>
    <xf numFmtId="0" fontId="0" fillId="0" borderId="0" xfId="0" applyAlignment="1">
      <alignment horizontal="left" vertical="center" wrapText="1"/>
    </xf>
    <xf numFmtId="0" fontId="20" fillId="0" borderId="33" xfId="0" applyFont="1" applyBorder="1" applyAlignment="1" applyProtection="1">
      <alignment horizontal="left" wrapText="1"/>
      <protection hidden="1"/>
    </xf>
    <xf numFmtId="0" fontId="20" fillId="0" borderId="32" xfId="0" applyFont="1" applyBorder="1" applyAlignment="1" applyProtection="1">
      <alignment horizontal="left" wrapText="1"/>
      <protection hidden="1"/>
    </xf>
    <xf numFmtId="0" fontId="0" fillId="0" borderId="80" xfId="0" applyFont="1" applyBorder="1" applyAlignment="1" applyProtection="1">
      <alignment horizontal="center" vertical="center" wrapText="1"/>
      <protection hidden="1"/>
    </xf>
    <xf numFmtId="0" fontId="20" fillId="0" borderId="13" xfId="0" applyFont="1" applyBorder="1" applyAlignment="1" applyProtection="1">
      <alignment horizontal="center" vertical="center" wrapText="1"/>
      <protection hidden="1"/>
    </xf>
    <xf numFmtId="0" fontId="0" fillId="0" borderId="12" xfId="0" applyFont="1" applyBorder="1" applyAlignment="1" applyProtection="1">
      <alignment horizontal="center" vertical="center" wrapText="1"/>
      <protection hidden="1"/>
    </xf>
    <xf numFmtId="0" fontId="0" fillId="0" borderId="13" xfId="0" applyFont="1" applyBorder="1" applyAlignment="1" applyProtection="1">
      <alignment horizontal="center" vertical="center" wrapText="1"/>
      <protection hidden="1"/>
    </xf>
    <xf numFmtId="0" fontId="0" fillId="0" borderId="23" xfId="0" applyBorder="1" applyAlignment="1" applyProtection="1">
      <alignment wrapText="1"/>
      <protection hidden="1"/>
    </xf>
    <xf numFmtId="0" fontId="0" fillId="0" borderId="52" xfId="0" applyBorder="1" applyAlignment="1" applyProtection="1">
      <alignment wrapText="1"/>
      <protection hidden="1"/>
    </xf>
    <xf numFmtId="0" fontId="0" fillId="0" borderId="81" xfId="0" applyFont="1" applyBorder="1" applyAlignment="1" applyProtection="1">
      <alignment horizontal="center" vertical="center" wrapText="1"/>
      <protection hidden="1"/>
    </xf>
    <xf numFmtId="0" fontId="0" fillId="0" borderId="80" xfId="0" applyBorder="1" applyAlignment="1" applyProtection="1">
      <alignment/>
      <protection hidden="1"/>
    </xf>
    <xf numFmtId="0" fontId="0" fillId="0" borderId="13" xfId="0" applyBorder="1" applyAlignment="1" applyProtection="1">
      <alignment/>
      <protection hidden="1"/>
    </xf>
    <xf numFmtId="0" fontId="0" fillId="0" borderId="12" xfId="0" applyBorder="1" applyAlignment="1" applyProtection="1">
      <alignment/>
      <protection hidden="1"/>
    </xf>
    <xf numFmtId="0" fontId="20" fillId="0" borderId="23" xfId="0" applyFont="1" applyBorder="1" applyAlignment="1" applyProtection="1">
      <alignment horizontal="center"/>
      <protection hidden="1"/>
    </xf>
    <xf numFmtId="0" fontId="20" fillId="0" borderId="52" xfId="0" applyFont="1" applyBorder="1" applyAlignment="1" applyProtection="1">
      <alignment horizontal="center"/>
      <protection hidden="1"/>
    </xf>
    <xf numFmtId="0" fontId="20" fillId="0" borderId="45" xfId="0" applyFont="1" applyBorder="1" applyAlignment="1" applyProtection="1">
      <alignment horizontal="center" vertical="center" wrapText="1"/>
      <protection hidden="1"/>
    </xf>
    <xf numFmtId="0" fontId="20" fillId="0" borderId="52" xfId="0" applyFont="1" applyBorder="1" applyAlignment="1" applyProtection="1">
      <alignment horizontal="center" vertical="center" wrapText="1"/>
      <protection hidden="1"/>
    </xf>
    <xf numFmtId="0" fontId="20" fillId="0" borderId="12" xfId="0" applyFont="1" applyBorder="1" applyAlignment="1" applyProtection="1">
      <alignment horizontal="center" vertical="center" wrapText="1"/>
      <protection hidden="1"/>
    </xf>
    <xf numFmtId="0" fontId="0" fillId="0" borderId="36" xfId="0" applyFont="1" applyBorder="1" applyAlignment="1" applyProtection="1">
      <alignment horizontal="center" vertical="center" wrapText="1"/>
      <protection hidden="1"/>
    </xf>
    <xf numFmtId="0" fontId="0" fillId="0" borderId="0" xfId="0" applyAlignment="1" applyProtection="1">
      <alignment horizontal="left" vertical="center"/>
      <protection hidden="1"/>
    </xf>
    <xf numFmtId="0" fontId="0" fillId="0" borderId="80" xfId="0" applyBorder="1" applyAlignment="1" applyProtection="1">
      <alignment horizontal="center"/>
      <protection hidden="1"/>
    </xf>
    <xf numFmtId="0" fontId="0" fillId="0" borderId="13" xfId="0" applyBorder="1" applyAlignment="1" applyProtection="1">
      <alignment horizontal="center"/>
      <protection hidden="1"/>
    </xf>
    <xf numFmtId="0" fontId="0" fillId="0" borderId="12" xfId="0" applyBorder="1" applyAlignment="1" applyProtection="1">
      <alignment horizontal="center"/>
      <protection hidden="1"/>
    </xf>
    <xf numFmtId="0" fontId="0" fillId="0" borderId="23" xfId="0" applyBorder="1" applyAlignment="1" applyProtection="1">
      <alignment horizontal="center"/>
      <protection hidden="1"/>
    </xf>
    <xf numFmtId="0" fontId="0" fillId="0" borderId="52" xfId="0" applyBorder="1" applyAlignment="1" applyProtection="1">
      <alignment horizontal="center"/>
      <protection hidden="1"/>
    </xf>
    <xf numFmtId="0" fontId="0" fillId="0" borderId="0" xfId="0" applyFont="1" applyAlignment="1" applyProtection="1">
      <alignment horizontal="center" vertical="center"/>
      <protection hidden="1"/>
    </xf>
    <xf numFmtId="0" fontId="19" fillId="0" borderId="87" xfId="0" applyFont="1" applyBorder="1" applyAlignment="1" applyProtection="1">
      <alignment horizontal="center" vertical="center"/>
      <protection hidden="1"/>
    </xf>
    <xf numFmtId="0" fontId="19" fillId="0" borderId="88" xfId="0" applyFont="1" applyBorder="1" applyAlignment="1" applyProtection="1">
      <alignment horizontal="center" vertical="center"/>
      <protection hidden="1"/>
    </xf>
    <xf numFmtId="0" fontId="19" fillId="0" borderId="89" xfId="0" applyFont="1" applyBorder="1" applyAlignment="1" applyProtection="1">
      <alignment horizontal="center" vertical="center"/>
      <protection hidden="1"/>
    </xf>
    <xf numFmtId="0" fontId="20" fillId="0" borderId="25" xfId="0" applyFont="1" applyBorder="1" applyAlignment="1" applyProtection="1">
      <alignment horizontal="center" vertical="center" wrapText="1"/>
      <protection hidden="1"/>
    </xf>
    <xf numFmtId="0" fontId="20" fillId="0" borderId="24" xfId="0" applyFont="1" applyBorder="1" applyAlignment="1" applyProtection="1">
      <alignment horizontal="center" vertical="center" wrapText="1"/>
      <protection hidden="1"/>
    </xf>
    <xf numFmtId="0" fontId="20" fillId="0" borderId="14" xfId="0" applyFont="1" applyBorder="1" applyAlignment="1" applyProtection="1">
      <alignment horizontal="center" vertical="center"/>
      <protection hidden="1"/>
    </xf>
    <xf numFmtId="0" fontId="22" fillId="0" borderId="18" xfId="0" applyFont="1" applyBorder="1" applyAlignment="1" applyProtection="1">
      <alignment horizontal="center" vertical="center"/>
      <protection hidden="1"/>
    </xf>
    <xf numFmtId="0" fontId="22" fillId="0" borderId="13" xfId="0" applyFont="1" applyBorder="1" applyAlignment="1" applyProtection="1">
      <alignment horizontal="center" vertical="center"/>
      <protection hidden="1"/>
    </xf>
    <xf numFmtId="0" fontId="22" fillId="0" borderId="20" xfId="0" applyFont="1" applyBorder="1" applyAlignment="1" applyProtection="1">
      <alignment horizontal="center" vertical="center"/>
      <protection hidden="1"/>
    </xf>
    <xf numFmtId="0" fontId="22" fillId="0" borderId="23" xfId="0" applyFont="1" applyBorder="1" applyAlignment="1" applyProtection="1">
      <alignment horizontal="center" vertical="center"/>
      <protection hidden="1"/>
    </xf>
    <xf numFmtId="0" fontId="22" fillId="0" borderId="11" xfId="0" applyFont="1" applyBorder="1" applyAlignment="1" applyProtection="1">
      <alignment horizontal="center" vertical="center"/>
      <protection hidden="1"/>
    </xf>
    <xf numFmtId="0" fontId="19" fillId="0" borderId="90" xfId="0" applyFont="1" applyBorder="1" applyAlignment="1" applyProtection="1">
      <alignment horizontal="center" vertical="center"/>
      <protection hidden="1"/>
    </xf>
    <xf numFmtId="0" fontId="0" fillId="0" borderId="91" xfId="0" applyBorder="1" applyAlignment="1" applyProtection="1">
      <alignment/>
      <protection hidden="1"/>
    </xf>
    <xf numFmtId="0" fontId="0" fillId="0" borderId="51" xfId="0" applyBorder="1" applyAlignment="1" applyProtection="1">
      <alignment/>
      <protection hidden="1"/>
    </xf>
    <xf numFmtId="0" fontId="20" fillId="0" borderId="82" xfId="0" applyFont="1" applyBorder="1" applyAlignment="1" applyProtection="1">
      <alignment horizontal="center" vertical="center" wrapText="1"/>
      <protection hidden="1"/>
    </xf>
    <xf numFmtId="0" fontId="0" fillId="0" borderId="0" xfId="0" applyAlignment="1" applyProtection="1">
      <alignment vertical="center" wrapText="1"/>
      <protection hidden="1"/>
    </xf>
    <xf numFmtId="0" fontId="32" fillId="0" borderId="0" xfId="0" applyFont="1" applyBorder="1" applyAlignment="1" applyProtection="1">
      <alignment horizontal="center" vertical="center"/>
      <protection hidden="1"/>
    </xf>
    <xf numFmtId="0" fontId="42" fillId="0" borderId="0" xfId="0" applyFont="1" applyAlignment="1" applyProtection="1">
      <alignment horizontal="center" vertical="center"/>
      <protection hidden="1"/>
    </xf>
    <xf numFmtId="0" fontId="42" fillId="0" borderId="0" xfId="0" applyFont="1" applyAlignment="1" applyProtection="1">
      <alignment horizontal="center"/>
      <protection hidden="1"/>
    </xf>
    <xf numFmtId="0" fontId="19" fillId="0" borderId="0" xfId="0" applyFont="1" applyBorder="1" applyAlignment="1" applyProtection="1">
      <alignment horizontal="left" vertical="center"/>
      <protection hidden="1"/>
    </xf>
    <xf numFmtId="0" fontId="32" fillId="0" borderId="83" xfId="0" applyFont="1" applyBorder="1" applyAlignment="1" applyProtection="1">
      <alignment horizontal="center" vertical="center"/>
      <protection hidden="1"/>
    </xf>
    <xf numFmtId="0" fontId="42" fillId="0" borderId="25" xfId="0" applyFont="1" applyBorder="1" applyAlignment="1" applyProtection="1">
      <alignment horizontal="center" vertical="center"/>
      <protection hidden="1"/>
    </xf>
    <xf numFmtId="0" fontId="42" fillId="0" borderId="84" xfId="0" applyFont="1" applyBorder="1" applyAlignment="1" applyProtection="1">
      <alignment horizontal="center" vertical="center"/>
      <protection hidden="1"/>
    </xf>
    <xf numFmtId="0" fontId="42" fillId="0" borderId="86" xfId="0" applyFont="1" applyBorder="1" applyAlignment="1" applyProtection="1">
      <alignment horizontal="center" vertical="center"/>
      <protection hidden="1"/>
    </xf>
    <xf numFmtId="0" fontId="42" fillId="0" borderId="24" xfId="0" applyFont="1" applyBorder="1" applyAlignment="1" applyProtection="1">
      <alignment horizontal="center" vertical="center"/>
      <protection hidden="1"/>
    </xf>
    <xf numFmtId="0" fontId="42" fillId="0" borderId="92" xfId="0" applyFont="1" applyBorder="1" applyAlignment="1" applyProtection="1">
      <alignment horizontal="center" vertical="center"/>
      <protection hidden="1"/>
    </xf>
    <xf numFmtId="0" fontId="20" fillId="0" borderId="93" xfId="0" applyFont="1" applyBorder="1" applyAlignment="1" applyProtection="1">
      <alignment horizontal="center" vertical="center" wrapText="1"/>
      <protection hidden="1"/>
    </xf>
    <xf numFmtId="0" fontId="22" fillId="0" borderId="44" xfId="0" applyFont="1" applyBorder="1" applyAlignment="1" applyProtection="1">
      <alignment/>
      <protection hidden="1"/>
    </xf>
    <xf numFmtId="0" fontId="0" fillId="0" borderId="44" xfId="0" applyBorder="1" applyAlignment="1" applyProtection="1">
      <alignment/>
      <protection hidden="1"/>
    </xf>
    <xf numFmtId="0" fontId="0" fillId="0" borderId="32" xfId="0" applyBorder="1" applyAlignment="1" applyProtection="1">
      <alignment/>
      <protection hidden="1"/>
    </xf>
    <xf numFmtId="39" fontId="20" fillId="0" borderId="44" xfId="0" applyNumberFormat="1" applyFont="1" applyBorder="1" applyAlignment="1" applyProtection="1">
      <alignment/>
      <protection hidden="1"/>
    </xf>
    <xf numFmtId="39" fontId="22" fillId="0" borderId="39" xfId="0" applyNumberFormat="1" applyFont="1" applyBorder="1" applyAlignment="1" applyProtection="1">
      <alignment/>
      <protection hidden="1"/>
    </xf>
    <xf numFmtId="0" fontId="19" fillId="0" borderId="94" xfId="0" applyFont="1" applyBorder="1" applyAlignment="1" applyProtection="1">
      <alignment horizontal="left"/>
      <protection hidden="1"/>
    </xf>
    <xf numFmtId="0" fontId="0" fillId="0" borderId="94" xfId="0" applyBorder="1" applyAlignment="1" applyProtection="1">
      <alignment/>
      <protection hidden="1"/>
    </xf>
    <xf numFmtId="0" fontId="0" fillId="0" borderId="22" xfId="0" applyBorder="1" applyAlignment="1" applyProtection="1">
      <alignment/>
      <protection hidden="1"/>
    </xf>
    <xf numFmtId="0" fontId="19" fillId="0" borderId="58" xfId="0" applyFont="1" applyBorder="1" applyAlignment="1" applyProtection="1">
      <alignment horizontal="left"/>
      <protection hidden="1"/>
    </xf>
    <xf numFmtId="0" fontId="0" fillId="0" borderId="58" xfId="0" applyBorder="1" applyAlignment="1" applyProtection="1">
      <alignment/>
      <protection hidden="1"/>
    </xf>
    <xf numFmtId="0" fontId="0" fillId="0" borderId="59" xfId="0" applyBorder="1" applyAlignment="1" applyProtection="1">
      <alignment/>
      <protection hidden="1"/>
    </xf>
    <xf numFmtId="0" fontId="19" fillId="0" borderId="95" xfId="0" applyFont="1" applyBorder="1" applyAlignment="1" applyProtection="1">
      <alignment horizontal="left"/>
      <protection hidden="1"/>
    </xf>
    <xf numFmtId="0" fontId="0" fillId="0" borderId="95" xfId="0" applyBorder="1" applyAlignment="1" applyProtection="1">
      <alignment/>
      <protection hidden="1"/>
    </xf>
    <xf numFmtId="0" fontId="0" fillId="0" borderId="41" xfId="0" applyBorder="1" applyAlignment="1" applyProtection="1">
      <alignment/>
      <protection hidden="1"/>
    </xf>
    <xf numFmtId="39" fontId="19" fillId="0" borderId="17" xfId="0" applyNumberFormat="1" applyFont="1" applyBorder="1" applyAlignment="1" applyProtection="1">
      <alignment/>
      <protection locked="0"/>
    </xf>
    <xf numFmtId="39" fontId="0" fillId="0" borderId="19" xfId="0" applyNumberFormat="1" applyBorder="1" applyAlignment="1" applyProtection="1">
      <alignment/>
      <protection locked="0"/>
    </xf>
    <xf numFmtId="0" fontId="19" fillId="0" borderId="56" xfId="0" applyFont="1" applyBorder="1" applyAlignment="1" applyProtection="1">
      <alignment horizontal="left"/>
      <protection hidden="1"/>
    </xf>
    <xf numFmtId="0" fontId="0" fillId="0" borderId="56" xfId="0" applyBorder="1" applyAlignment="1" applyProtection="1">
      <alignment/>
      <protection hidden="1"/>
    </xf>
    <xf numFmtId="0" fontId="0" fillId="0" borderId="45" xfId="0" applyBorder="1" applyAlignment="1" applyProtection="1">
      <alignment/>
      <protection hidden="1"/>
    </xf>
    <xf numFmtId="39" fontId="19" fillId="0" borderId="45" xfId="0" applyNumberFormat="1" applyFont="1" applyBorder="1" applyAlignment="1" applyProtection="1">
      <alignment/>
      <protection hidden="1"/>
    </xf>
    <xf numFmtId="39" fontId="0" fillId="0" borderId="42" xfId="0" applyNumberFormat="1" applyBorder="1" applyAlignment="1" applyProtection="1">
      <alignment/>
      <protection hidden="1"/>
    </xf>
    <xf numFmtId="0" fontId="0" fillId="0" borderId="0" xfId="0" applyFont="1" applyBorder="1" applyAlignment="1" applyProtection="1">
      <alignment/>
      <protection hidden="1"/>
    </xf>
    <xf numFmtId="0" fontId="0" fillId="0" borderId="0" xfId="0" applyBorder="1" applyAlignment="1" applyProtection="1">
      <alignment/>
      <protection hidden="1"/>
    </xf>
    <xf numFmtId="39" fontId="19" fillId="0" borderId="57" xfId="0" applyNumberFormat="1" applyFont="1" applyBorder="1" applyAlignment="1" applyProtection="1">
      <alignment/>
      <protection locked="0"/>
    </xf>
    <xf numFmtId="39" fontId="0" fillId="0" borderId="96" xfId="0" applyNumberFormat="1" applyBorder="1" applyAlignment="1" applyProtection="1">
      <alignment/>
      <protection locked="0"/>
    </xf>
    <xf numFmtId="0" fontId="19" fillId="0" borderId="44" xfId="0" applyFont="1" applyBorder="1" applyAlignment="1" applyProtection="1">
      <alignment horizontal="left"/>
      <protection hidden="1"/>
    </xf>
    <xf numFmtId="39" fontId="19" fillId="0" borderId="44" xfId="0" applyNumberFormat="1" applyFont="1" applyBorder="1" applyAlignment="1" applyProtection="1">
      <alignment/>
      <protection hidden="1"/>
    </xf>
    <xf numFmtId="39" fontId="0" fillId="0" borderId="39" xfId="0" applyNumberFormat="1" applyBorder="1" applyAlignment="1" applyProtection="1">
      <alignment/>
      <protection hidden="1"/>
    </xf>
    <xf numFmtId="39" fontId="19" fillId="0" borderId="97" xfId="0" applyNumberFormat="1" applyFont="1" applyBorder="1" applyAlignment="1" applyProtection="1">
      <alignment/>
      <protection locked="0"/>
    </xf>
    <xf numFmtId="39" fontId="0" fillId="0" borderId="98" xfId="0" applyNumberFormat="1" applyBorder="1" applyAlignment="1" applyProtection="1">
      <alignment/>
      <protection locked="0"/>
    </xf>
    <xf numFmtId="0" fontId="31" fillId="0" borderId="14" xfId="0" applyFont="1" applyBorder="1" applyAlignment="1" applyProtection="1">
      <alignment horizontal="center" vertical="center"/>
      <protection hidden="1"/>
    </xf>
    <xf numFmtId="0" fontId="30" fillId="0" borderId="15" xfId="0" applyFont="1" applyBorder="1" applyAlignment="1" applyProtection="1">
      <alignment horizontal="center" vertical="center"/>
      <protection hidden="1"/>
    </xf>
    <xf numFmtId="0" fontId="0" fillId="0" borderId="15" xfId="0" applyBorder="1" applyAlignment="1" applyProtection="1">
      <alignment horizontal="center"/>
      <protection hidden="1"/>
    </xf>
    <xf numFmtId="0" fontId="30" fillId="0" borderId="23" xfId="0" applyFont="1" applyBorder="1" applyAlignment="1" applyProtection="1">
      <alignment horizontal="center" vertical="center"/>
      <protection hidden="1"/>
    </xf>
    <xf numFmtId="0" fontId="30" fillId="0" borderId="10" xfId="0" applyFont="1" applyBorder="1" applyAlignment="1" applyProtection="1">
      <alignment horizontal="center" vertical="center"/>
      <protection hidden="1"/>
    </xf>
    <xf numFmtId="0" fontId="0" fillId="0" borderId="10" xfId="0" applyBorder="1" applyAlignment="1" applyProtection="1">
      <alignment horizontal="center"/>
      <protection hidden="1"/>
    </xf>
    <xf numFmtId="0" fontId="0" fillId="0" borderId="53" xfId="0" applyBorder="1" applyAlignment="1" applyProtection="1">
      <alignment horizontal="center" vertical="center" wrapText="1"/>
      <protection hidden="1"/>
    </xf>
    <xf numFmtId="0" fontId="20" fillId="0" borderId="24" xfId="0" applyFont="1" applyBorder="1" applyAlignment="1" applyProtection="1">
      <alignment horizontal="center"/>
      <protection hidden="1"/>
    </xf>
    <xf numFmtId="0" fontId="0" fillId="0" borderId="82" xfId="0" applyBorder="1" applyAlignment="1" applyProtection="1">
      <alignment horizontal="center"/>
      <protection hidden="1"/>
    </xf>
    <xf numFmtId="198" fontId="19" fillId="0" borderId="0" xfId="0" applyNumberFormat="1" applyFont="1" applyBorder="1" applyAlignment="1" applyProtection="1">
      <alignment/>
      <protection hidden="1"/>
    </xf>
    <xf numFmtId="0" fontId="19" fillId="0" borderId="46" xfId="0" applyFont="1" applyBorder="1" applyAlignment="1" applyProtection="1">
      <alignment horizontal="left"/>
      <protection hidden="1"/>
    </xf>
    <xf numFmtId="0" fontId="0" fillId="0" borderId="46" xfId="0" applyBorder="1" applyAlignment="1" applyProtection="1">
      <alignment/>
      <protection hidden="1"/>
    </xf>
    <xf numFmtId="0" fontId="0" fillId="0" borderId="93" xfId="0" applyBorder="1" applyAlignment="1" applyProtection="1">
      <alignment/>
      <protection hidden="1"/>
    </xf>
    <xf numFmtId="39" fontId="19" fillId="0" borderId="24" xfId="0" applyNumberFormat="1" applyFont="1" applyBorder="1" applyAlignment="1" applyProtection="1">
      <alignment/>
      <protection locked="0"/>
    </xf>
    <xf numFmtId="39" fontId="0" fillId="0" borderId="82" xfId="0" applyNumberFormat="1" applyBorder="1" applyAlignment="1" applyProtection="1">
      <alignment/>
      <protection locked="0"/>
    </xf>
    <xf numFmtId="39" fontId="19" fillId="0" borderId="28" xfId="0" applyNumberFormat="1" applyFont="1" applyBorder="1" applyAlignment="1" applyProtection="1">
      <alignment/>
      <protection hidden="1"/>
    </xf>
    <xf numFmtId="39" fontId="0" fillId="0" borderId="29" xfId="0" applyNumberFormat="1" applyBorder="1" applyAlignment="1" applyProtection="1">
      <alignment/>
      <protection hidden="1"/>
    </xf>
    <xf numFmtId="39" fontId="19" fillId="0" borderId="17" xfId="0" applyNumberFormat="1" applyFont="1" applyBorder="1" applyAlignment="1" applyProtection="1">
      <alignment/>
      <protection hidden="1"/>
    </xf>
    <xf numFmtId="39" fontId="0" fillId="0" borderId="19" xfId="0" applyNumberFormat="1" applyBorder="1" applyAlignment="1" applyProtection="1">
      <alignment/>
      <protection hidden="1"/>
    </xf>
    <xf numFmtId="0" fontId="0" fillId="0" borderId="15" xfId="0" applyBorder="1" applyAlignment="1" applyProtection="1">
      <alignment horizontal="center" vertical="center"/>
      <protection hidden="1"/>
    </xf>
    <xf numFmtId="0" fontId="0" fillId="0" borderId="23" xfId="0" applyBorder="1" applyAlignment="1" applyProtection="1">
      <alignment horizontal="center" vertical="center"/>
      <protection hidden="1"/>
    </xf>
    <xf numFmtId="0" fontId="0" fillId="0" borderId="10" xfId="0" applyBorder="1" applyAlignment="1" applyProtection="1">
      <alignment horizontal="center" vertical="center"/>
      <protection hidden="1"/>
    </xf>
    <xf numFmtId="0" fontId="19" fillId="0" borderId="0" xfId="0" applyFont="1" applyBorder="1" applyAlignment="1" applyProtection="1">
      <alignment horizontal="left"/>
      <protection hidden="1"/>
    </xf>
    <xf numFmtId="0" fontId="0" fillId="0" borderId="0" xfId="0" applyBorder="1" applyAlignment="1" applyProtection="1">
      <alignment horizontal="left"/>
      <protection hidden="1"/>
    </xf>
    <xf numFmtId="0" fontId="0" fillId="0" borderId="15" xfId="0" applyBorder="1" applyAlignment="1" applyProtection="1">
      <alignment/>
      <protection hidden="1"/>
    </xf>
    <xf numFmtId="0" fontId="0" fillId="0" borderId="23" xfId="0" applyBorder="1" applyAlignment="1" applyProtection="1">
      <alignment/>
      <protection hidden="1"/>
    </xf>
    <xf numFmtId="0" fontId="0" fillId="0" borderId="10" xfId="0" applyBorder="1" applyAlignment="1" applyProtection="1">
      <alignment/>
      <protection hidden="1"/>
    </xf>
    <xf numFmtId="0" fontId="0" fillId="0" borderId="20" xfId="0" applyBorder="1" applyAlignment="1" applyProtection="1">
      <alignment/>
      <protection hidden="1"/>
    </xf>
    <xf numFmtId="39" fontId="19" fillId="0" borderId="97" xfId="0" applyNumberFormat="1" applyFont="1" applyBorder="1" applyAlignment="1" applyProtection="1">
      <alignment/>
      <protection hidden="1"/>
    </xf>
    <xf numFmtId="39" fontId="0" fillId="0" borderId="98" xfId="0" applyNumberFormat="1" applyBorder="1" applyAlignment="1" applyProtection="1">
      <alignment/>
      <protection hidden="1"/>
    </xf>
    <xf numFmtId="0" fontId="19" fillId="0" borderId="13" xfId="0" applyFont="1" applyBorder="1" applyAlignment="1" applyProtection="1">
      <alignment horizontal="left"/>
      <protection locked="0"/>
    </xf>
    <xf numFmtId="0" fontId="19" fillId="0" borderId="12" xfId="0" applyFont="1" applyBorder="1" applyAlignment="1" applyProtection="1">
      <alignment horizontal="left"/>
      <protection locked="0"/>
    </xf>
    <xf numFmtId="0" fontId="19" fillId="0" borderId="14" xfId="0" applyFont="1" applyBorder="1" applyAlignment="1" applyProtection="1">
      <alignment horizontal="left"/>
      <protection locked="0"/>
    </xf>
    <xf numFmtId="0" fontId="19" fillId="0" borderId="80" xfId="0" applyFont="1" applyBorder="1" applyAlignment="1" applyProtection="1">
      <alignment horizontal="left"/>
      <protection locked="0"/>
    </xf>
    <xf numFmtId="0" fontId="19" fillId="0" borderId="23" xfId="0" applyFont="1" applyBorder="1" applyAlignment="1" applyProtection="1">
      <alignment horizontal="left"/>
      <protection locked="0"/>
    </xf>
    <xf numFmtId="0" fontId="19" fillId="0" borderId="52" xfId="0" applyFont="1" applyBorder="1" applyAlignment="1" applyProtection="1">
      <alignment horizontal="left"/>
      <protection locked="0"/>
    </xf>
    <xf numFmtId="0" fontId="20" fillId="0" borderId="44" xfId="0" applyFont="1" applyBorder="1" applyAlignment="1" applyProtection="1">
      <alignment horizontal="center"/>
      <protection hidden="1"/>
    </xf>
    <xf numFmtId="0" fontId="0" fillId="0" borderId="44" xfId="0" applyBorder="1" applyAlignment="1" applyProtection="1">
      <alignment horizontal="center"/>
      <protection hidden="1"/>
    </xf>
    <xf numFmtId="0" fontId="0" fillId="0" borderId="32" xfId="0" applyBorder="1" applyAlignment="1" applyProtection="1">
      <alignment horizontal="center"/>
      <protection hidden="1"/>
    </xf>
    <xf numFmtId="0" fontId="31" fillId="0" borderId="33" xfId="0" applyFont="1" applyBorder="1" applyAlignment="1" applyProtection="1">
      <alignment horizontal="center" vertical="center"/>
      <protection hidden="1"/>
    </xf>
    <xf numFmtId="0" fontId="31" fillId="0" borderId="44" xfId="0" applyFont="1" applyBorder="1" applyAlignment="1" applyProtection="1">
      <alignment horizontal="center" vertical="center"/>
      <protection hidden="1"/>
    </xf>
    <xf numFmtId="0" fontId="35" fillId="0" borderId="44" xfId="0" applyFont="1" applyBorder="1" applyAlignment="1" applyProtection="1">
      <alignment horizontal="center" vertical="center"/>
      <protection hidden="1"/>
    </xf>
    <xf numFmtId="0" fontId="35" fillId="0" borderId="39" xfId="0" applyFont="1" applyBorder="1" applyAlignment="1" applyProtection="1">
      <alignment horizontal="center" vertical="center"/>
      <protection hidden="1"/>
    </xf>
    <xf numFmtId="0" fontId="20" fillId="0" borderId="32" xfId="0" applyFont="1" applyBorder="1" applyAlignment="1" applyProtection="1">
      <alignment horizontal="center"/>
      <protection hidden="1"/>
    </xf>
    <xf numFmtId="0" fontId="20" fillId="0" borderId="79" xfId="0" applyFont="1" applyBorder="1" applyAlignment="1" applyProtection="1">
      <alignment horizontal="center"/>
      <protection hidden="1"/>
    </xf>
    <xf numFmtId="0" fontId="22" fillId="0" borderId="44" xfId="0" applyFont="1" applyBorder="1" applyAlignment="1" applyProtection="1">
      <alignment horizontal="center"/>
      <protection hidden="1"/>
    </xf>
    <xf numFmtId="0" fontId="19" fillId="0" borderId="0" xfId="0" applyFont="1" applyBorder="1" applyAlignment="1" applyProtection="1">
      <alignment horizontal="left"/>
      <protection locked="0"/>
    </xf>
    <xf numFmtId="0" fontId="19" fillId="0" borderId="36" xfId="0" applyFont="1" applyBorder="1" applyAlignment="1" applyProtection="1">
      <alignment horizontal="left"/>
      <protection locked="0"/>
    </xf>
    <xf numFmtId="0" fontId="31" fillId="0" borderId="15" xfId="0" applyFont="1" applyBorder="1" applyAlignment="1" applyProtection="1">
      <alignment horizontal="center" vertical="center"/>
      <protection hidden="1"/>
    </xf>
    <xf numFmtId="0" fontId="35" fillId="0" borderId="15" xfId="0" applyFont="1" applyBorder="1" applyAlignment="1" applyProtection="1">
      <alignment horizontal="center" vertical="center"/>
      <protection hidden="1"/>
    </xf>
    <xf numFmtId="0" fontId="35" fillId="0" borderId="18" xfId="0" applyFont="1" applyBorder="1" applyAlignment="1" applyProtection="1">
      <alignment horizontal="center" vertical="center"/>
      <protection hidden="1"/>
    </xf>
    <xf numFmtId="0" fontId="20" fillId="0" borderId="14" xfId="0" applyFont="1" applyBorder="1" applyAlignment="1" applyProtection="1">
      <alignment horizontal="right"/>
      <protection hidden="1"/>
    </xf>
    <xf numFmtId="0" fontId="0" fillId="0" borderId="15" xfId="0" applyBorder="1" applyAlignment="1" applyProtection="1">
      <alignment horizontal="right"/>
      <protection hidden="1"/>
    </xf>
    <xf numFmtId="0" fontId="22" fillId="0" borderId="0" xfId="0" applyFont="1" applyAlignment="1" applyProtection="1">
      <alignment horizontal="center"/>
      <protection hidden="1"/>
    </xf>
    <xf numFmtId="0" fontId="0" fillId="0" borderId="0" xfId="0" applyFont="1" applyAlignment="1" applyProtection="1">
      <alignment horizontal="center"/>
      <protection hidden="1"/>
    </xf>
    <xf numFmtId="0" fontId="35" fillId="0" borderId="0" xfId="0" applyFont="1" applyBorder="1" applyAlignment="1" applyProtection="1">
      <alignment horizontal="center" vertical="center"/>
      <protection hidden="1"/>
    </xf>
    <xf numFmtId="0" fontId="20" fillId="0" borderId="33" xfId="0" applyFont="1" applyBorder="1" applyAlignment="1" applyProtection="1">
      <alignment horizontal="right"/>
      <protection hidden="1"/>
    </xf>
    <xf numFmtId="0" fontId="0" fillId="0" borderId="44" xfId="0" applyBorder="1" applyAlignment="1" applyProtection="1">
      <alignment horizontal="right"/>
      <protection hidden="1"/>
    </xf>
    <xf numFmtId="0" fontId="43" fillId="0" borderId="44" xfId="0" applyFont="1" applyBorder="1" applyAlignment="1" applyProtection="1">
      <alignment horizontal="justify" vertical="top" wrapText="1"/>
      <protection hidden="1"/>
    </xf>
    <xf numFmtId="0" fontId="44" fillId="0" borderId="44" xfId="0" applyFont="1" applyBorder="1" applyAlignment="1">
      <alignment horizontal="justify" vertical="top" wrapText="1"/>
    </xf>
    <xf numFmtId="0" fontId="20" fillId="0" borderId="0" xfId="0" applyFont="1" applyBorder="1" applyAlignment="1" applyProtection="1">
      <alignment/>
      <protection hidden="1"/>
    </xf>
    <xf numFmtId="0" fontId="22" fillId="0" borderId="0" xfId="0" applyFont="1" applyAlignment="1" applyProtection="1">
      <alignment/>
      <protection hidden="1"/>
    </xf>
    <xf numFmtId="0" fontId="22" fillId="0" borderId="12" xfId="0" applyFont="1" applyBorder="1" applyAlignment="1" applyProtection="1">
      <alignment/>
      <protection hidden="1"/>
    </xf>
    <xf numFmtId="0" fontId="19" fillId="0" borderId="0" xfId="0" applyFont="1" applyBorder="1" applyAlignment="1" applyProtection="1">
      <alignment/>
      <protection hidden="1"/>
    </xf>
    <xf numFmtId="0" fontId="0" fillId="0" borderId="0" xfId="0" applyFont="1" applyAlignment="1" applyProtection="1">
      <alignment/>
      <protection hidden="1"/>
    </xf>
    <xf numFmtId="0" fontId="0" fillId="0" borderId="12" xfId="0" applyFont="1" applyBorder="1" applyAlignment="1" applyProtection="1">
      <alignment/>
      <protection hidden="1"/>
    </xf>
    <xf numFmtId="0" fontId="20" fillId="0" borderId="44" xfId="0" applyFont="1" applyBorder="1" applyAlignment="1" applyProtection="1">
      <alignment horizontal="left"/>
      <protection hidden="1"/>
    </xf>
    <xf numFmtId="0" fontId="31" fillId="0" borderId="33" xfId="0" applyFont="1" applyBorder="1" applyAlignment="1" applyProtection="1">
      <alignment horizontal="left" vertical="center"/>
      <protection hidden="1"/>
    </xf>
    <xf numFmtId="0" fontId="31" fillId="0" borderId="44" xfId="0" applyFont="1" applyBorder="1" applyAlignment="1" applyProtection="1">
      <alignment horizontal="left" vertical="center"/>
      <protection hidden="1"/>
    </xf>
    <xf numFmtId="0" fontId="35" fillId="0" borderId="44" xfId="0" applyFont="1" applyBorder="1" applyAlignment="1" applyProtection="1">
      <alignment horizontal="left" vertical="center"/>
      <protection hidden="1"/>
    </xf>
    <xf numFmtId="0" fontId="35" fillId="0" borderId="39" xfId="0" applyFont="1" applyBorder="1" applyAlignment="1" applyProtection="1">
      <alignment horizontal="left" vertical="center"/>
      <protection hidden="1"/>
    </xf>
    <xf numFmtId="0" fontId="0" fillId="0" borderId="44" xfId="0" applyFont="1" applyBorder="1" applyAlignment="1" applyProtection="1">
      <alignment horizontal="left"/>
      <protection hidden="1"/>
    </xf>
    <xf numFmtId="0" fontId="0" fillId="0" borderId="32" xfId="0" applyFont="1" applyBorder="1" applyAlignment="1" applyProtection="1">
      <alignment horizontal="left"/>
      <protection hidden="1"/>
    </xf>
    <xf numFmtId="0" fontId="19" fillId="0" borderId="15" xfId="0" applyFont="1" applyBorder="1" applyAlignment="1" applyProtection="1">
      <alignment horizontal="left"/>
      <protection hidden="1"/>
    </xf>
    <xf numFmtId="0" fontId="0" fillId="0" borderId="44" xfId="0" applyFont="1" applyBorder="1" applyAlignment="1" applyProtection="1">
      <alignment/>
      <protection hidden="1"/>
    </xf>
    <xf numFmtId="0" fontId="0" fillId="0" borderId="32" xfId="0" applyFont="1" applyBorder="1" applyAlignment="1" applyProtection="1">
      <alignment/>
      <protection hidden="1"/>
    </xf>
    <xf numFmtId="0" fontId="22" fillId="0" borderId="0" xfId="0" applyFont="1" applyAlignment="1" applyProtection="1">
      <alignment horizontal="right"/>
      <protection hidden="1"/>
    </xf>
    <xf numFmtId="0" fontId="0" fillId="0" borderId="0" xfId="0" applyFont="1" applyAlignment="1" applyProtection="1">
      <alignment horizontal="right"/>
      <protection hidden="1"/>
    </xf>
    <xf numFmtId="0" fontId="22" fillId="0" borderId="0" xfId="0" applyFont="1" applyAlignment="1" applyProtection="1">
      <alignment horizontal="left"/>
      <protection hidden="1"/>
    </xf>
    <xf numFmtId="0" fontId="19" fillId="0" borderId="0" xfId="0" applyFont="1" applyBorder="1" applyAlignment="1" applyProtection="1">
      <alignment wrapText="1"/>
      <protection hidden="1"/>
    </xf>
    <xf numFmtId="0" fontId="0" fillId="0" borderId="0" xfId="0" applyBorder="1" applyAlignment="1" applyProtection="1">
      <alignment wrapText="1"/>
      <protection hidden="1"/>
    </xf>
    <xf numFmtId="39" fontId="20" fillId="0" borderId="17" xfId="0" applyNumberFormat="1" applyFont="1" applyBorder="1" applyAlignment="1" applyProtection="1">
      <alignment horizontal="right" vertical="center"/>
      <protection hidden="1"/>
    </xf>
    <xf numFmtId="39" fontId="20" fillId="0" borderId="19" xfId="0" applyNumberFormat="1" applyFont="1" applyBorder="1" applyAlignment="1" applyProtection="1">
      <alignment horizontal="right" vertical="center"/>
      <protection hidden="1"/>
    </xf>
    <xf numFmtId="0" fontId="20" fillId="0" borderId="15" xfId="0" applyFont="1" applyBorder="1" applyAlignment="1" applyProtection="1">
      <alignment wrapText="1"/>
      <protection hidden="1"/>
    </xf>
    <xf numFmtId="0" fontId="0" fillId="0" borderId="15" xfId="0" applyBorder="1" applyAlignment="1" applyProtection="1">
      <alignment wrapText="1"/>
      <protection hidden="1"/>
    </xf>
    <xf numFmtId="0" fontId="0" fillId="0" borderId="44" xfId="0" applyBorder="1" applyAlignment="1" applyProtection="1">
      <alignment horizontal="left"/>
      <protection hidden="1"/>
    </xf>
    <xf numFmtId="0" fontId="0" fillId="0" borderId="32" xfId="0" applyBorder="1" applyAlignment="1" applyProtection="1">
      <alignment horizontal="left"/>
      <protection hidden="1"/>
    </xf>
    <xf numFmtId="0" fontId="19" fillId="0" borderId="10" xfId="0" applyFont="1" applyBorder="1" applyAlignment="1" applyProtection="1">
      <alignment/>
      <protection hidden="1"/>
    </xf>
    <xf numFmtId="0" fontId="0" fillId="0" borderId="39" xfId="0" applyBorder="1" applyAlignment="1" applyProtection="1">
      <alignment/>
      <protection hidden="1"/>
    </xf>
    <xf numFmtId="0" fontId="19" fillId="0" borderId="10" xfId="0" applyFont="1" applyBorder="1" applyAlignment="1" applyProtection="1">
      <alignment/>
      <protection hidden="1"/>
    </xf>
    <xf numFmtId="0" fontId="19" fillId="0" borderId="52" xfId="0" applyFont="1" applyBorder="1" applyAlignment="1" applyProtection="1">
      <alignment/>
      <protection hidden="1"/>
    </xf>
    <xf numFmtId="0" fontId="20" fillId="0" borderId="15" xfId="0" applyFont="1" applyBorder="1" applyAlignment="1" applyProtection="1">
      <alignment/>
      <protection hidden="1"/>
    </xf>
    <xf numFmtId="0" fontId="20" fillId="0" borderId="13" xfId="0" applyFont="1" applyBorder="1" applyAlignment="1" applyProtection="1">
      <alignment/>
      <protection hidden="1"/>
    </xf>
    <xf numFmtId="0" fontId="22" fillId="0" borderId="0" xfId="0" applyFont="1" applyBorder="1" applyAlignment="1" applyProtection="1">
      <alignment/>
      <protection hidden="1"/>
    </xf>
    <xf numFmtId="0" fontId="19" fillId="0" borderId="0" xfId="0" applyFont="1" applyBorder="1" applyAlignment="1" applyProtection="1">
      <alignment/>
      <protection hidden="1"/>
    </xf>
    <xf numFmtId="0" fontId="31" fillId="0" borderId="14" xfId="0" applyFont="1" applyBorder="1" applyAlignment="1" applyProtection="1">
      <alignment horizontal="left" vertical="center"/>
      <protection hidden="1"/>
    </xf>
    <xf numFmtId="0" fontId="31" fillId="0" borderId="15" xfId="0" applyFont="1" applyBorder="1" applyAlignment="1" applyProtection="1">
      <alignment horizontal="left" vertical="center"/>
      <protection hidden="1"/>
    </xf>
    <xf numFmtId="0" fontId="35" fillId="0" borderId="15" xfId="0" applyFont="1" applyBorder="1" applyAlignment="1" applyProtection="1">
      <alignment horizontal="left" vertical="center"/>
      <protection hidden="1"/>
    </xf>
    <xf numFmtId="0" fontId="35" fillId="0" borderId="18" xfId="0" applyFont="1" applyBorder="1" applyAlignment="1" applyProtection="1">
      <alignment horizontal="left" vertical="center"/>
      <protection hidden="1"/>
    </xf>
    <xf numFmtId="0" fontId="19" fillId="0" borderId="0" xfId="0" applyFont="1" applyAlignment="1" applyProtection="1">
      <alignment/>
      <protection hidden="1"/>
    </xf>
    <xf numFmtId="0" fontId="87" fillId="0" borderId="0" xfId="0" applyFont="1" applyAlignment="1" applyProtection="1">
      <alignment horizontal="justify" vertical="top" wrapText="1"/>
      <protection hidden="1"/>
    </xf>
    <xf numFmtId="0" fontId="19" fillId="0" borderId="12" xfId="0" applyFont="1" applyBorder="1" applyAlignment="1" applyProtection="1">
      <alignment/>
      <protection hidden="1"/>
    </xf>
    <xf numFmtId="0" fontId="31" fillId="0" borderId="0" xfId="0" applyFont="1" applyAlignment="1" applyProtection="1">
      <alignment horizontal="center" vertical="center"/>
      <protection hidden="1"/>
    </xf>
    <xf numFmtId="0" fontId="31" fillId="0" borderId="0" xfId="0" applyFont="1" applyAlignment="1" applyProtection="1">
      <alignment vertical="center"/>
      <protection hidden="1"/>
    </xf>
    <xf numFmtId="0" fontId="0" fillId="0" borderId="0" xfId="0" applyAlignment="1" applyProtection="1">
      <alignment vertical="center"/>
      <protection hidden="1"/>
    </xf>
    <xf numFmtId="0" fontId="44" fillId="0" borderId="0" xfId="0" applyFont="1" applyAlignment="1" applyProtection="1">
      <alignment horizontal="justify" vertical="top" wrapText="1"/>
      <protection hidden="1"/>
    </xf>
    <xf numFmtId="0" fontId="19" fillId="0" borderId="0" xfId="0" applyFont="1" applyAlignment="1" applyProtection="1">
      <alignment vertical="center" wrapText="1"/>
      <protection hidden="1"/>
    </xf>
    <xf numFmtId="0" fontId="19" fillId="0" borderId="0" xfId="0" applyFont="1" applyBorder="1" applyAlignment="1" applyProtection="1">
      <alignment vertical="center" wrapText="1"/>
      <protection hidden="1"/>
    </xf>
    <xf numFmtId="0" fontId="19" fillId="0" borderId="0" xfId="0" applyFont="1" applyAlignment="1" applyProtection="1">
      <alignment vertical="top" wrapText="1"/>
      <protection hidden="1"/>
    </xf>
    <xf numFmtId="0" fontId="19" fillId="0" borderId="12" xfId="0" applyFont="1" applyBorder="1" applyAlignment="1" applyProtection="1">
      <alignment vertical="top" wrapText="1"/>
      <protection hidden="1"/>
    </xf>
    <xf numFmtId="0" fontId="19" fillId="0" borderId="12" xfId="0" applyFont="1" applyBorder="1" applyAlignment="1" applyProtection="1">
      <alignment vertical="center" wrapText="1"/>
      <protection hidden="1"/>
    </xf>
    <xf numFmtId="0" fontId="22" fillId="0" borderId="0" xfId="0" applyFont="1" applyBorder="1" applyAlignment="1">
      <alignment/>
    </xf>
    <xf numFmtId="0" fontId="0" fillId="0" borderId="0" xfId="0" applyAlignment="1" applyProtection="1">
      <alignment horizontal="left"/>
      <protection hidden="1"/>
    </xf>
    <xf numFmtId="0" fontId="31" fillId="0" borderId="44" xfId="0" applyFont="1" applyBorder="1" applyAlignment="1" applyProtection="1">
      <alignment/>
      <protection hidden="1"/>
    </xf>
    <xf numFmtId="0" fontId="20" fillId="0" borderId="12" xfId="0" applyFont="1" applyBorder="1" applyAlignment="1" applyProtection="1">
      <alignment/>
      <protection hidden="1"/>
    </xf>
    <xf numFmtId="0" fontId="32" fillId="0" borderId="0" xfId="0" applyFont="1" applyAlignment="1" applyProtection="1">
      <alignment horizontal="center"/>
      <protection hidden="1"/>
    </xf>
    <xf numFmtId="0" fontId="22" fillId="0" borderId="0" xfId="0" applyFont="1" applyBorder="1" applyAlignment="1" applyProtection="1">
      <alignment horizontal="center"/>
      <protection hidden="1"/>
    </xf>
    <xf numFmtId="0" fontId="20" fillId="0" borderId="44" xfId="0" applyFont="1" applyBorder="1" applyAlignment="1" applyProtection="1">
      <alignment vertical="center"/>
      <protection hidden="1"/>
    </xf>
    <xf numFmtId="0" fontId="20" fillId="0" borderId="44" xfId="0" applyFont="1" applyBorder="1" applyAlignment="1" applyProtection="1">
      <alignment vertical="center" wrapText="1"/>
      <protection hidden="1"/>
    </xf>
    <xf numFmtId="0" fontId="19" fillId="0" borderId="0" xfId="0" applyFont="1" applyBorder="1" applyAlignment="1" applyProtection="1">
      <alignment horizontal="left" vertical="center" wrapText="1"/>
      <protection hidden="1"/>
    </xf>
    <xf numFmtId="0" fontId="19" fillId="0" borderId="52" xfId="0" applyFont="1" applyBorder="1" applyAlignment="1" applyProtection="1">
      <alignment/>
      <protection hidden="1"/>
    </xf>
    <xf numFmtId="0" fontId="19" fillId="0" borderId="15" xfId="0" applyFont="1" applyBorder="1" applyAlignment="1" applyProtection="1">
      <alignment/>
      <protection hidden="1"/>
    </xf>
    <xf numFmtId="0" fontId="19" fillId="0" borderId="80" xfId="0" applyFont="1" applyBorder="1" applyAlignment="1" applyProtection="1">
      <alignment/>
      <protection hidden="1"/>
    </xf>
    <xf numFmtId="0" fontId="0" fillId="0" borderId="52" xfId="0" applyBorder="1" applyAlignment="1" applyProtection="1">
      <alignment/>
      <protection hidden="1"/>
    </xf>
    <xf numFmtId="0" fontId="0" fillId="0" borderId="12" xfId="0" applyBorder="1" applyAlignment="1">
      <alignment/>
    </xf>
    <xf numFmtId="0" fontId="22" fillId="0" borderId="13" xfId="0" applyFont="1" applyBorder="1" applyAlignment="1" applyProtection="1">
      <alignment/>
      <protection hidden="1"/>
    </xf>
    <xf numFmtId="0" fontId="0" fillId="0" borderId="13" xfId="0" applyFont="1" applyBorder="1" applyAlignment="1" applyProtection="1">
      <alignment/>
      <protection hidden="1"/>
    </xf>
    <xf numFmtId="3" fontId="0" fillId="0" borderId="13" xfId="0" applyNumberFormat="1" applyFont="1" applyBorder="1" applyAlignment="1" applyProtection="1">
      <alignment/>
      <protection hidden="1"/>
    </xf>
    <xf numFmtId="0" fontId="0" fillId="0" borderId="13" xfId="0" applyFont="1" applyBorder="1" applyAlignment="1" applyProtection="1">
      <alignment horizontal="left"/>
      <protection hidden="1"/>
    </xf>
    <xf numFmtId="0" fontId="22" fillId="0" borderId="0" xfId="0" applyFont="1" applyBorder="1" applyAlignment="1" applyProtection="1">
      <alignment horizontal="left"/>
      <protection hidden="1"/>
    </xf>
    <xf numFmtId="0" fontId="35" fillId="0" borderId="0" xfId="0" applyFont="1" applyBorder="1" applyAlignment="1" applyProtection="1">
      <alignment horizontal="left"/>
      <protection hidden="1"/>
    </xf>
    <xf numFmtId="0" fontId="31" fillId="0" borderId="0" xfId="0" applyFont="1" applyAlignment="1" applyProtection="1">
      <alignment horizontal="center"/>
      <protection hidden="1"/>
    </xf>
    <xf numFmtId="0" fontId="30" fillId="0" borderId="0" xfId="0" applyFont="1" applyAlignment="1" applyProtection="1">
      <alignment horizontal="center"/>
      <protection hidden="1"/>
    </xf>
    <xf numFmtId="0" fontId="20" fillId="0" borderId="0" xfId="0" applyFont="1" applyAlignment="1" applyProtection="1">
      <alignment/>
      <protection hidden="1"/>
    </xf>
    <xf numFmtId="0" fontId="22" fillId="0" borderId="83" xfId="0" applyFont="1" applyBorder="1" applyAlignment="1" applyProtection="1">
      <alignment/>
      <protection hidden="1"/>
    </xf>
    <xf numFmtId="0" fontId="22" fillId="0" borderId="25" xfId="0" applyFont="1" applyBorder="1" applyAlignment="1" applyProtection="1">
      <alignment/>
      <protection hidden="1"/>
    </xf>
    <xf numFmtId="0" fontId="0" fillId="0" borderId="25" xfId="0" applyFont="1" applyBorder="1" applyAlignment="1" applyProtection="1">
      <alignment/>
      <protection hidden="1"/>
    </xf>
    <xf numFmtId="0" fontId="0" fillId="0" borderId="0" xfId="0" applyFont="1" applyBorder="1" applyAlignment="1" applyProtection="1">
      <alignment horizontal="center"/>
      <protection locked="0"/>
    </xf>
    <xf numFmtId="0" fontId="0" fillId="0" borderId="0" xfId="0" applyFont="1" applyAlignment="1" applyProtection="1">
      <alignment horizontal="center"/>
      <protection locked="0"/>
    </xf>
    <xf numFmtId="0" fontId="19" fillId="0" borderId="0" xfId="0" applyFont="1" applyAlignment="1" applyProtection="1">
      <alignment horizontal="center"/>
      <protection hidden="1"/>
    </xf>
    <xf numFmtId="0" fontId="22" fillId="0" borderId="13" xfId="0" applyFont="1" applyBorder="1" applyAlignment="1" applyProtection="1">
      <alignment horizontal="left"/>
      <protection hidden="1"/>
    </xf>
    <xf numFmtId="0" fontId="0" fillId="0" borderId="0" xfId="0" applyAlignment="1" applyProtection="1">
      <alignment horizontal="left" vertical="center" wrapText="1"/>
      <protection hidden="1"/>
    </xf>
    <xf numFmtId="0" fontId="20" fillId="0" borderId="0" xfId="0" applyFont="1" applyBorder="1" applyAlignment="1" applyProtection="1">
      <alignment horizontal="center" vertical="center"/>
      <protection hidden="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chartsheet" Target="chartsheets/sheet1.xml" /><Relationship Id="rId15" Type="http://schemas.openxmlformats.org/officeDocument/2006/relationships/worksheet" Target="worksheets/sheet14.xml" /><Relationship Id="rId16" Type="http://schemas.openxmlformats.org/officeDocument/2006/relationships/worksheet" Target="worksheets/sheet15.xml" /><Relationship Id="rId17" Type="http://schemas.openxmlformats.org/officeDocument/2006/relationships/worksheet" Target="worksheets/sheet16.xml" /><Relationship Id="rId18" Type="http://schemas.openxmlformats.org/officeDocument/2006/relationships/worksheet" Target="worksheets/sheet17.xml" /><Relationship Id="rId19" Type="http://schemas.openxmlformats.org/officeDocument/2006/relationships/worksheet" Target="worksheets/sheet18.xml" /><Relationship Id="rId20" Type="http://schemas.openxmlformats.org/officeDocument/2006/relationships/worksheet" Target="worksheets/sheet19.xml" /><Relationship Id="rId21" Type="http://schemas.openxmlformats.org/officeDocument/2006/relationships/worksheet" Target="worksheets/sheet20.xml" /><Relationship Id="rId22" Type="http://schemas.openxmlformats.org/officeDocument/2006/relationships/worksheet" Target="worksheets/sheet21.xml" /><Relationship Id="rId23" Type="http://schemas.openxmlformats.org/officeDocument/2006/relationships/worksheet" Target="worksheets/sheet22.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1"/>
          <c:y val="0.01675"/>
          <c:w val="0.782"/>
          <c:h val="0.9665"/>
        </c:manualLayout>
      </c:layout>
      <c:barChart>
        <c:barDir val="col"/>
        <c:grouping val="clustered"/>
        <c:varyColors val="0"/>
        <c:ser>
          <c:idx val="0"/>
          <c:order val="0"/>
          <c:tx>
            <c:strRef>
              <c:f>REPASSES!$E$81</c:f>
              <c:strCache>
                <c:ptCount val="1"/>
                <c:pt idx="0">
                  <c:v>IPTU/ ITBI/ ISS/ IRRF/</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REPASSES!$B$82:$D$116</c:f>
              <c:multiLvlStrCache>
                <c:ptCount val="34"/>
                <c:lvl>
                  <c:pt idx="0">
                    <c:v>DESCRIÇÃO</c:v>
                  </c:pt>
                  <c:pt idx="1">
                    <c:v>Depósito em conta até 20º dia</c:v>
                  </c:pt>
                  <c:pt idx="2">
                    <c:v>Transferências Obrigatórias (1º Decêndio)</c:v>
                  </c:pt>
                  <c:pt idx="3">
                    <c:v>Diferença</c:v>
                  </c:pt>
                  <c:pt idx="4">
                    <c:v>Depósito em conta até 30º dia</c:v>
                  </c:pt>
                  <c:pt idx="5">
                    <c:v>Transferências Obrigatórias (2º Decêndio)</c:v>
                  </c:pt>
                  <c:pt idx="6">
                    <c:v>Diferença</c:v>
                  </c:pt>
                  <c:pt idx="7">
                    <c:v>Depósito em conta até 10º dia do mês subs.</c:v>
                  </c:pt>
                  <c:pt idx="8">
                    <c:v>Transferências Obrigatórias (3º Decêndio)</c:v>
                  </c:pt>
                  <c:pt idx="9">
                    <c:v>Diferença</c:v>
                  </c:pt>
                  <c:pt idx="10">
                    <c:v>DESCRIÇÃO</c:v>
                  </c:pt>
                  <c:pt idx="11">
                    <c:v>Depósito em conta até 20º dia</c:v>
                  </c:pt>
                  <c:pt idx="12">
                    <c:v>Transferências Obrigatórias (1º Decêndio)</c:v>
                  </c:pt>
                  <c:pt idx="13">
                    <c:v>Diferença</c:v>
                  </c:pt>
                  <c:pt idx="14">
                    <c:v>Depósito em conta até 30º dia</c:v>
                  </c:pt>
                  <c:pt idx="15">
                    <c:v>Transferências Obrigatórias (2º Decêndio)</c:v>
                  </c:pt>
                  <c:pt idx="16">
                    <c:v>Diferença</c:v>
                  </c:pt>
                  <c:pt idx="17">
                    <c:v>Depósito em conta até 10º dia do mês subs.</c:v>
                  </c:pt>
                  <c:pt idx="18">
                    <c:v>Transferências Obrigatórias (3º Decêndio)</c:v>
                  </c:pt>
                  <c:pt idx="19">
                    <c:v>Diferença</c:v>
                  </c:pt>
                  <c:pt idx="20">
                    <c:v>DESCRIÇÃO</c:v>
                  </c:pt>
                  <c:pt idx="21">
                    <c:v>Depósito em conta até 20º dia</c:v>
                  </c:pt>
                  <c:pt idx="22">
                    <c:v>Transferências Obrigatórias (1º Decêndio)</c:v>
                  </c:pt>
                  <c:pt idx="23">
                    <c:v>Diferença</c:v>
                  </c:pt>
                  <c:pt idx="24">
                    <c:v>Depósito em conta até 30º dia</c:v>
                  </c:pt>
                  <c:pt idx="25">
                    <c:v>Transferências Obrigatórias (2º Decêndio)</c:v>
                  </c:pt>
                  <c:pt idx="26">
                    <c:v>Diferença</c:v>
                  </c:pt>
                  <c:pt idx="27">
                    <c:v>Depósito em conta até 10º dia do mês subs.</c:v>
                  </c:pt>
                  <c:pt idx="28">
                    <c:v>Transferências Obrigatórias (3º Decêndio)</c:v>
                  </c:pt>
                  <c:pt idx="29">
                    <c:v>Diferença</c:v>
                  </c:pt>
                  <c:pt idx="30">
                    <c:v>DESCRIÇÃO</c:v>
                  </c:pt>
                  <c:pt idx="31">
                    <c:v>Total depositado em conta</c:v>
                  </c:pt>
                  <c:pt idx="32">
                    <c:v>Total das Transferências Obrigatórias</c:v>
                  </c:pt>
                  <c:pt idx="33">
                    <c:v>Diferença</c:v>
                  </c:pt>
                </c:lvl>
                <c:lvl>
                  <c:pt idx="0">
                    <c:v>PERÍODO (DIAS)</c:v>
                  </c:pt>
                  <c:pt idx="1">
                    <c:v>1º a 10</c:v>
                  </c:pt>
                  <c:pt idx="4">
                    <c:v>11 a 20</c:v>
                  </c:pt>
                  <c:pt idx="7">
                    <c:v>21 a 30</c:v>
                  </c:pt>
                  <c:pt idx="10">
                    <c:v>PERÍODO</c:v>
                  </c:pt>
                  <c:pt idx="11">
                    <c:v>1º a 10</c:v>
                  </c:pt>
                  <c:pt idx="14">
                    <c:v>11 a 20</c:v>
                  </c:pt>
                  <c:pt idx="17">
                    <c:v>21 a 30</c:v>
                  </c:pt>
                  <c:pt idx="20">
                    <c:v>PERÍODO</c:v>
                  </c:pt>
                  <c:pt idx="21">
                    <c:v>1º a 10</c:v>
                  </c:pt>
                  <c:pt idx="24">
                    <c:v>11 a 20</c:v>
                  </c:pt>
                  <c:pt idx="27">
                    <c:v>21 a 30</c:v>
                  </c:pt>
                  <c:pt idx="30">
                    <c:v>TOTAL DO 2º TRIMESTRE</c:v>
                  </c:pt>
                </c:lvl>
                <c:lvl>
                  <c:pt idx="0">
                    <c:v>MÊS</c:v>
                  </c:pt>
                  <c:pt idx="1">
                    <c:v>ABRIL</c:v>
                  </c:pt>
                  <c:pt idx="10">
                    <c:v>MÊS</c:v>
                  </c:pt>
                  <c:pt idx="11">
                    <c:v>MAIO</c:v>
                  </c:pt>
                  <c:pt idx="20">
                    <c:v>MÊS</c:v>
                  </c:pt>
                  <c:pt idx="21">
                    <c:v>JUNHO</c:v>
                  </c:pt>
                </c:lvl>
              </c:multiLvlStrCache>
            </c:multiLvlStrRef>
          </c:cat>
          <c:val>
            <c:numRef>
              <c:f>REPASSES!$E$82:$E$116</c:f>
              <c:numCache>
                <c:ptCount val="35"/>
                <c:pt idx="0">
                  <c:v>0</c:v>
                </c:pt>
                <c:pt idx="1">
                  <c:v>0.25</c:v>
                </c:pt>
                <c:pt idx="2">
                  <c:v>6031.82</c:v>
                </c:pt>
                <c:pt idx="3">
                  <c:v>6031.82</c:v>
                </c:pt>
                <c:pt idx="4">
                  <c:v>0</c:v>
                </c:pt>
                <c:pt idx="5">
                  <c:v>2310.5</c:v>
                </c:pt>
                <c:pt idx="6">
                  <c:v>2310.5</c:v>
                </c:pt>
                <c:pt idx="7">
                  <c:v>0</c:v>
                </c:pt>
                <c:pt idx="8">
                  <c:v>19981.14</c:v>
                </c:pt>
                <c:pt idx="9">
                  <c:v>19981.14</c:v>
                </c:pt>
                <c:pt idx="10">
                  <c:v>0</c:v>
                </c:pt>
                <c:pt idx="11">
                  <c:v>0.25</c:v>
                </c:pt>
                <c:pt idx="12">
                  <c:v>4166.55</c:v>
                </c:pt>
                <c:pt idx="13">
                  <c:v>4166.55</c:v>
                </c:pt>
                <c:pt idx="14">
                  <c:v>0</c:v>
                </c:pt>
                <c:pt idx="15">
                  <c:v>6294.51</c:v>
                </c:pt>
                <c:pt idx="16">
                  <c:v>6294.51</c:v>
                </c:pt>
                <c:pt idx="17">
                  <c:v>0</c:v>
                </c:pt>
                <c:pt idx="18">
                  <c:v>41856.47</c:v>
                </c:pt>
                <c:pt idx="19">
                  <c:v>41856.47</c:v>
                </c:pt>
                <c:pt idx="20">
                  <c:v>0</c:v>
                </c:pt>
                <c:pt idx="21">
                  <c:v>0.25</c:v>
                </c:pt>
                <c:pt idx="22">
                  <c:v>32287.75</c:v>
                </c:pt>
                <c:pt idx="23">
                  <c:v>32287.75</c:v>
                </c:pt>
                <c:pt idx="24">
                  <c:v>0</c:v>
                </c:pt>
                <c:pt idx="25">
                  <c:v>7946.88</c:v>
                </c:pt>
                <c:pt idx="26">
                  <c:v>7946.88</c:v>
                </c:pt>
                <c:pt idx="27">
                  <c:v>0</c:v>
                </c:pt>
                <c:pt idx="28">
                  <c:v>23122.77</c:v>
                </c:pt>
                <c:pt idx="29">
                  <c:v>23122.77</c:v>
                </c:pt>
                <c:pt idx="30">
                  <c:v>0</c:v>
                </c:pt>
                <c:pt idx="31">
                  <c:v>0.25</c:v>
                </c:pt>
                <c:pt idx="32">
                  <c:v>143998.38999999998</c:v>
                </c:pt>
                <c:pt idx="33">
                  <c:v>143998.38999999998</c:v>
                </c:pt>
                <c:pt idx="34">
                  <c:v>0</c:v>
                </c:pt>
              </c:numCache>
            </c:numRef>
          </c:val>
        </c:ser>
        <c:ser>
          <c:idx val="1"/>
          <c:order val="1"/>
          <c:tx>
            <c:strRef>
              <c:f>REPASSES!$F$81</c:f>
              <c:strCache>
                <c:ptCount val="1"/>
                <c:pt idx="0">
                  <c:v>FPM/ ICMS/ IPI/ LC 87/96</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REPASSES!$B$82:$D$116</c:f>
              <c:multiLvlStrCache>
                <c:ptCount val="34"/>
                <c:lvl>
                  <c:pt idx="0">
                    <c:v>DESCRIÇÃO</c:v>
                  </c:pt>
                  <c:pt idx="1">
                    <c:v>Depósito em conta até 20º dia</c:v>
                  </c:pt>
                  <c:pt idx="2">
                    <c:v>Transferências Obrigatórias (1º Decêndio)</c:v>
                  </c:pt>
                  <c:pt idx="3">
                    <c:v>Diferença</c:v>
                  </c:pt>
                  <c:pt idx="4">
                    <c:v>Depósito em conta até 30º dia</c:v>
                  </c:pt>
                  <c:pt idx="5">
                    <c:v>Transferências Obrigatórias (2º Decêndio)</c:v>
                  </c:pt>
                  <c:pt idx="6">
                    <c:v>Diferença</c:v>
                  </c:pt>
                  <c:pt idx="7">
                    <c:v>Depósito em conta até 10º dia do mês subs.</c:v>
                  </c:pt>
                  <c:pt idx="8">
                    <c:v>Transferências Obrigatórias (3º Decêndio)</c:v>
                  </c:pt>
                  <c:pt idx="9">
                    <c:v>Diferença</c:v>
                  </c:pt>
                  <c:pt idx="10">
                    <c:v>DESCRIÇÃO</c:v>
                  </c:pt>
                  <c:pt idx="11">
                    <c:v>Depósito em conta até 20º dia</c:v>
                  </c:pt>
                  <c:pt idx="12">
                    <c:v>Transferências Obrigatórias (1º Decêndio)</c:v>
                  </c:pt>
                  <c:pt idx="13">
                    <c:v>Diferença</c:v>
                  </c:pt>
                  <c:pt idx="14">
                    <c:v>Depósito em conta até 30º dia</c:v>
                  </c:pt>
                  <c:pt idx="15">
                    <c:v>Transferências Obrigatórias (2º Decêndio)</c:v>
                  </c:pt>
                  <c:pt idx="16">
                    <c:v>Diferença</c:v>
                  </c:pt>
                  <c:pt idx="17">
                    <c:v>Depósito em conta até 10º dia do mês subs.</c:v>
                  </c:pt>
                  <c:pt idx="18">
                    <c:v>Transferências Obrigatórias (3º Decêndio)</c:v>
                  </c:pt>
                  <c:pt idx="19">
                    <c:v>Diferença</c:v>
                  </c:pt>
                  <c:pt idx="20">
                    <c:v>DESCRIÇÃO</c:v>
                  </c:pt>
                  <c:pt idx="21">
                    <c:v>Depósito em conta até 20º dia</c:v>
                  </c:pt>
                  <c:pt idx="22">
                    <c:v>Transferências Obrigatórias (1º Decêndio)</c:v>
                  </c:pt>
                  <c:pt idx="23">
                    <c:v>Diferença</c:v>
                  </c:pt>
                  <c:pt idx="24">
                    <c:v>Depósito em conta até 30º dia</c:v>
                  </c:pt>
                  <c:pt idx="25">
                    <c:v>Transferências Obrigatórias (2º Decêndio)</c:v>
                  </c:pt>
                  <c:pt idx="26">
                    <c:v>Diferença</c:v>
                  </c:pt>
                  <c:pt idx="27">
                    <c:v>Depósito em conta até 10º dia do mês subs.</c:v>
                  </c:pt>
                  <c:pt idx="28">
                    <c:v>Transferências Obrigatórias (3º Decêndio)</c:v>
                  </c:pt>
                  <c:pt idx="29">
                    <c:v>Diferença</c:v>
                  </c:pt>
                  <c:pt idx="30">
                    <c:v>DESCRIÇÃO</c:v>
                  </c:pt>
                  <c:pt idx="31">
                    <c:v>Total depositado em conta</c:v>
                  </c:pt>
                  <c:pt idx="32">
                    <c:v>Total das Transferências Obrigatórias</c:v>
                  </c:pt>
                  <c:pt idx="33">
                    <c:v>Diferença</c:v>
                  </c:pt>
                </c:lvl>
                <c:lvl>
                  <c:pt idx="0">
                    <c:v>PERÍODO (DIAS)</c:v>
                  </c:pt>
                  <c:pt idx="1">
                    <c:v>1º a 10</c:v>
                  </c:pt>
                  <c:pt idx="4">
                    <c:v>11 a 20</c:v>
                  </c:pt>
                  <c:pt idx="7">
                    <c:v>21 a 30</c:v>
                  </c:pt>
                  <c:pt idx="10">
                    <c:v>PERÍODO</c:v>
                  </c:pt>
                  <c:pt idx="11">
                    <c:v>1º a 10</c:v>
                  </c:pt>
                  <c:pt idx="14">
                    <c:v>11 a 20</c:v>
                  </c:pt>
                  <c:pt idx="17">
                    <c:v>21 a 30</c:v>
                  </c:pt>
                  <c:pt idx="20">
                    <c:v>PERÍODO</c:v>
                  </c:pt>
                  <c:pt idx="21">
                    <c:v>1º a 10</c:v>
                  </c:pt>
                  <c:pt idx="24">
                    <c:v>11 a 20</c:v>
                  </c:pt>
                  <c:pt idx="27">
                    <c:v>21 a 30</c:v>
                  </c:pt>
                  <c:pt idx="30">
                    <c:v>TOTAL DO 2º TRIMESTRE</c:v>
                  </c:pt>
                </c:lvl>
                <c:lvl>
                  <c:pt idx="0">
                    <c:v>MÊS</c:v>
                  </c:pt>
                  <c:pt idx="1">
                    <c:v>ABRIL</c:v>
                  </c:pt>
                  <c:pt idx="10">
                    <c:v>MÊS</c:v>
                  </c:pt>
                  <c:pt idx="11">
                    <c:v>MAIO</c:v>
                  </c:pt>
                  <c:pt idx="20">
                    <c:v>MÊS</c:v>
                  </c:pt>
                  <c:pt idx="21">
                    <c:v>JUNHO</c:v>
                  </c:pt>
                </c:lvl>
              </c:multiLvlStrCache>
            </c:multiLvlStrRef>
          </c:cat>
          <c:val>
            <c:numRef>
              <c:f>REPASSES!$F$82:$F$116</c:f>
              <c:numCache>
                <c:ptCount val="35"/>
                <c:pt idx="1">
                  <c:v>0</c:v>
                </c:pt>
                <c:pt idx="2">
                  <c:v>19537.57</c:v>
                </c:pt>
                <c:pt idx="3">
                  <c:v>19537.57</c:v>
                </c:pt>
                <c:pt idx="4">
                  <c:v>0</c:v>
                </c:pt>
                <c:pt idx="5">
                  <c:v>6848.94</c:v>
                </c:pt>
                <c:pt idx="6">
                  <c:v>6848.94</c:v>
                </c:pt>
                <c:pt idx="7">
                  <c:v>0</c:v>
                </c:pt>
                <c:pt idx="8">
                  <c:v>16683.93</c:v>
                </c:pt>
                <c:pt idx="9">
                  <c:v>16683.93</c:v>
                </c:pt>
                <c:pt idx="10">
                  <c:v>0</c:v>
                </c:pt>
                <c:pt idx="11">
                  <c:v>0</c:v>
                </c:pt>
                <c:pt idx="12">
                  <c:v>25157.3</c:v>
                </c:pt>
                <c:pt idx="13">
                  <c:v>25157.3</c:v>
                </c:pt>
                <c:pt idx="14">
                  <c:v>0</c:v>
                </c:pt>
                <c:pt idx="15">
                  <c:v>12556.64</c:v>
                </c:pt>
                <c:pt idx="16">
                  <c:v>12556.64</c:v>
                </c:pt>
                <c:pt idx="17">
                  <c:v>0</c:v>
                </c:pt>
                <c:pt idx="18">
                  <c:v>45693.03</c:v>
                </c:pt>
                <c:pt idx="19">
                  <c:v>45693.03</c:v>
                </c:pt>
                <c:pt idx="20">
                  <c:v>0</c:v>
                </c:pt>
                <c:pt idx="21">
                  <c:v>0</c:v>
                </c:pt>
                <c:pt idx="22">
                  <c:v>24947.14</c:v>
                </c:pt>
                <c:pt idx="23">
                  <c:v>24947.14</c:v>
                </c:pt>
                <c:pt idx="24">
                  <c:v>0</c:v>
                </c:pt>
                <c:pt idx="25">
                  <c:v>10514.59</c:v>
                </c:pt>
                <c:pt idx="26">
                  <c:v>10514.59</c:v>
                </c:pt>
                <c:pt idx="27">
                  <c:v>0</c:v>
                </c:pt>
                <c:pt idx="28">
                  <c:v>23012.24</c:v>
                </c:pt>
                <c:pt idx="29">
                  <c:v>23012.24</c:v>
                </c:pt>
                <c:pt idx="30">
                  <c:v>0</c:v>
                </c:pt>
                <c:pt idx="31">
                  <c:v>0</c:v>
                </c:pt>
                <c:pt idx="32">
                  <c:v>184951.37999999998</c:v>
                </c:pt>
                <c:pt idx="33">
                  <c:v>184951.37999999998</c:v>
                </c:pt>
                <c:pt idx="34">
                  <c:v>0</c:v>
                </c:pt>
              </c:numCache>
            </c:numRef>
          </c:val>
        </c:ser>
        <c:ser>
          <c:idx val="2"/>
          <c:order val="2"/>
          <c:tx>
            <c:strRef>
              <c:f>REPASSES!$G$81</c:f>
              <c:strCache>
                <c:ptCount val="1"/>
                <c:pt idx="0">
                  <c:v>IPVA/ ITR</c:v>
                </c:pt>
              </c:strCache>
            </c:strRef>
          </c:tx>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REPASSES!$B$82:$D$116</c:f>
              <c:multiLvlStrCache>
                <c:ptCount val="34"/>
                <c:lvl>
                  <c:pt idx="0">
                    <c:v>DESCRIÇÃO</c:v>
                  </c:pt>
                  <c:pt idx="1">
                    <c:v>Depósito em conta até 20º dia</c:v>
                  </c:pt>
                  <c:pt idx="2">
                    <c:v>Transferências Obrigatórias (1º Decêndio)</c:v>
                  </c:pt>
                  <c:pt idx="3">
                    <c:v>Diferença</c:v>
                  </c:pt>
                  <c:pt idx="4">
                    <c:v>Depósito em conta até 30º dia</c:v>
                  </c:pt>
                  <c:pt idx="5">
                    <c:v>Transferências Obrigatórias (2º Decêndio)</c:v>
                  </c:pt>
                  <c:pt idx="6">
                    <c:v>Diferença</c:v>
                  </c:pt>
                  <c:pt idx="7">
                    <c:v>Depósito em conta até 10º dia do mês subs.</c:v>
                  </c:pt>
                  <c:pt idx="8">
                    <c:v>Transferências Obrigatórias (3º Decêndio)</c:v>
                  </c:pt>
                  <c:pt idx="9">
                    <c:v>Diferença</c:v>
                  </c:pt>
                  <c:pt idx="10">
                    <c:v>DESCRIÇÃO</c:v>
                  </c:pt>
                  <c:pt idx="11">
                    <c:v>Depósito em conta até 20º dia</c:v>
                  </c:pt>
                  <c:pt idx="12">
                    <c:v>Transferências Obrigatórias (1º Decêndio)</c:v>
                  </c:pt>
                  <c:pt idx="13">
                    <c:v>Diferença</c:v>
                  </c:pt>
                  <c:pt idx="14">
                    <c:v>Depósito em conta até 30º dia</c:v>
                  </c:pt>
                  <c:pt idx="15">
                    <c:v>Transferências Obrigatórias (2º Decêndio)</c:v>
                  </c:pt>
                  <c:pt idx="16">
                    <c:v>Diferença</c:v>
                  </c:pt>
                  <c:pt idx="17">
                    <c:v>Depósito em conta até 10º dia do mês subs.</c:v>
                  </c:pt>
                  <c:pt idx="18">
                    <c:v>Transferências Obrigatórias (3º Decêndio)</c:v>
                  </c:pt>
                  <c:pt idx="19">
                    <c:v>Diferença</c:v>
                  </c:pt>
                  <c:pt idx="20">
                    <c:v>DESCRIÇÃO</c:v>
                  </c:pt>
                  <c:pt idx="21">
                    <c:v>Depósito em conta até 20º dia</c:v>
                  </c:pt>
                  <c:pt idx="22">
                    <c:v>Transferências Obrigatórias (1º Decêndio)</c:v>
                  </c:pt>
                  <c:pt idx="23">
                    <c:v>Diferença</c:v>
                  </c:pt>
                  <c:pt idx="24">
                    <c:v>Depósito em conta até 30º dia</c:v>
                  </c:pt>
                  <c:pt idx="25">
                    <c:v>Transferências Obrigatórias (2º Decêndio)</c:v>
                  </c:pt>
                  <c:pt idx="26">
                    <c:v>Diferença</c:v>
                  </c:pt>
                  <c:pt idx="27">
                    <c:v>Depósito em conta até 10º dia do mês subs.</c:v>
                  </c:pt>
                  <c:pt idx="28">
                    <c:v>Transferências Obrigatórias (3º Decêndio)</c:v>
                  </c:pt>
                  <c:pt idx="29">
                    <c:v>Diferença</c:v>
                  </c:pt>
                  <c:pt idx="30">
                    <c:v>DESCRIÇÃO</c:v>
                  </c:pt>
                  <c:pt idx="31">
                    <c:v>Total depositado em conta</c:v>
                  </c:pt>
                  <c:pt idx="32">
                    <c:v>Total das Transferências Obrigatórias</c:v>
                  </c:pt>
                  <c:pt idx="33">
                    <c:v>Diferença</c:v>
                  </c:pt>
                </c:lvl>
                <c:lvl>
                  <c:pt idx="0">
                    <c:v>PERÍODO (DIAS)</c:v>
                  </c:pt>
                  <c:pt idx="1">
                    <c:v>1º a 10</c:v>
                  </c:pt>
                  <c:pt idx="4">
                    <c:v>11 a 20</c:v>
                  </c:pt>
                  <c:pt idx="7">
                    <c:v>21 a 30</c:v>
                  </c:pt>
                  <c:pt idx="10">
                    <c:v>PERÍODO</c:v>
                  </c:pt>
                  <c:pt idx="11">
                    <c:v>1º a 10</c:v>
                  </c:pt>
                  <c:pt idx="14">
                    <c:v>11 a 20</c:v>
                  </c:pt>
                  <c:pt idx="17">
                    <c:v>21 a 30</c:v>
                  </c:pt>
                  <c:pt idx="20">
                    <c:v>PERÍODO</c:v>
                  </c:pt>
                  <c:pt idx="21">
                    <c:v>1º a 10</c:v>
                  </c:pt>
                  <c:pt idx="24">
                    <c:v>11 a 20</c:v>
                  </c:pt>
                  <c:pt idx="27">
                    <c:v>21 a 30</c:v>
                  </c:pt>
                  <c:pt idx="30">
                    <c:v>TOTAL DO 2º TRIMESTRE</c:v>
                  </c:pt>
                </c:lvl>
                <c:lvl>
                  <c:pt idx="0">
                    <c:v>MÊS</c:v>
                  </c:pt>
                  <c:pt idx="1">
                    <c:v>ABRIL</c:v>
                  </c:pt>
                  <c:pt idx="10">
                    <c:v>MÊS</c:v>
                  </c:pt>
                  <c:pt idx="11">
                    <c:v>MAIO</c:v>
                  </c:pt>
                  <c:pt idx="20">
                    <c:v>MÊS</c:v>
                  </c:pt>
                  <c:pt idx="21">
                    <c:v>JUNHO</c:v>
                  </c:pt>
                </c:lvl>
              </c:multiLvlStrCache>
            </c:multiLvlStrRef>
          </c:cat>
          <c:val>
            <c:numRef>
              <c:f>REPASSES!$G$82:$G$116</c:f>
              <c:numCache>
                <c:ptCount val="35"/>
                <c:pt idx="1">
                  <c:v>0</c:v>
                </c:pt>
                <c:pt idx="2">
                  <c:v>434.17</c:v>
                </c:pt>
                <c:pt idx="3">
                  <c:v>434.17</c:v>
                </c:pt>
                <c:pt idx="4">
                  <c:v>0</c:v>
                </c:pt>
                <c:pt idx="5">
                  <c:v>118.51</c:v>
                </c:pt>
                <c:pt idx="6">
                  <c:v>118.51</c:v>
                </c:pt>
                <c:pt idx="7">
                  <c:v>0</c:v>
                </c:pt>
                <c:pt idx="8">
                  <c:v>1591.26</c:v>
                </c:pt>
                <c:pt idx="9">
                  <c:v>1591.26</c:v>
                </c:pt>
                <c:pt idx="10">
                  <c:v>0</c:v>
                </c:pt>
                <c:pt idx="11">
                  <c:v>0</c:v>
                </c:pt>
                <c:pt idx="12">
                  <c:v>280.49</c:v>
                </c:pt>
                <c:pt idx="13">
                  <c:v>280.49</c:v>
                </c:pt>
                <c:pt idx="14">
                  <c:v>0</c:v>
                </c:pt>
                <c:pt idx="15">
                  <c:v>588.3</c:v>
                </c:pt>
                <c:pt idx="16">
                  <c:v>588.3</c:v>
                </c:pt>
                <c:pt idx="17">
                  <c:v>0</c:v>
                </c:pt>
                <c:pt idx="18">
                  <c:v>338.84</c:v>
                </c:pt>
                <c:pt idx="19">
                  <c:v>338.84</c:v>
                </c:pt>
                <c:pt idx="20">
                  <c:v>0</c:v>
                </c:pt>
                <c:pt idx="21">
                  <c:v>0</c:v>
                </c:pt>
                <c:pt idx="22">
                  <c:v>560.69</c:v>
                </c:pt>
                <c:pt idx="23">
                  <c:v>560.69</c:v>
                </c:pt>
                <c:pt idx="24">
                  <c:v>0</c:v>
                </c:pt>
                <c:pt idx="25">
                  <c:v>1087.05</c:v>
                </c:pt>
                <c:pt idx="26">
                  <c:v>1087.05</c:v>
                </c:pt>
                <c:pt idx="27">
                  <c:v>0</c:v>
                </c:pt>
                <c:pt idx="28">
                  <c:v>630.65</c:v>
                </c:pt>
                <c:pt idx="29">
                  <c:v>630.65</c:v>
                </c:pt>
                <c:pt idx="30">
                  <c:v>0</c:v>
                </c:pt>
                <c:pt idx="31">
                  <c:v>0</c:v>
                </c:pt>
                <c:pt idx="32">
                  <c:v>5629.96</c:v>
                </c:pt>
                <c:pt idx="33">
                  <c:v>5629.96</c:v>
                </c:pt>
                <c:pt idx="34">
                  <c:v>0</c:v>
                </c:pt>
              </c:numCache>
            </c:numRef>
          </c:val>
        </c:ser>
        <c:ser>
          <c:idx val="3"/>
          <c:order val="3"/>
          <c:tx>
            <c:strRef>
              <c:f>REPASSES!$H$81</c:f>
              <c:strCache>
                <c:ptCount val="1"/>
                <c:pt idx="0">
                  <c:v>TOTAL ACUMULADO</c:v>
                </c:pt>
              </c:strCache>
            </c:strRef>
          </c:tx>
          <c:spPr>
            <a:solidFill>
              <a:srgbClr val="CC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REPASSES!$B$82:$D$116</c:f>
              <c:multiLvlStrCache>
                <c:ptCount val="34"/>
                <c:lvl>
                  <c:pt idx="0">
                    <c:v>DESCRIÇÃO</c:v>
                  </c:pt>
                  <c:pt idx="1">
                    <c:v>Depósito em conta até 20º dia</c:v>
                  </c:pt>
                  <c:pt idx="2">
                    <c:v>Transferências Obrigatórias (1º Decêndio)</c:v>
                  </c:pt>
                  <c:pt idx="3">
                    <c:v>Diferença</c:v>
                  </c:pt>
                  <c:pt idx="4">
                    <c:v>Depósito em conta até 30º dia</c:v>
                  </c:pt>
                  <c:pt idx="5">
                    <c:v>Transferências Obrigatórias (2º Decêndio)</c:v>
                  </c:pt>
                  <c:pt idx="6">
                    <c:v>Diferença</c:v>
                  </c:pt>
                  <c:pt idx="7">
                    <c:v>Depósito em conta até 10º dia do mês subs.</c:v>
                  </c:pt>
                  <c:pt idx="8">
                    <c:v>Transferências Obrigatórias (3º Decêndio)</c:v>
                  </c:pt>
                  <c:pt idx="9">
                    <c:v>Diferença</c:v>
                  </c:pt>
                  <c:pt idx="10">
                    <c:v>DESCRIÇÃO</c:v>
                  </c:pt>
                  <c:pt idx="11">
                    <c:v>Depósito em conta até 20º dia</c:v>
                  </c:pt>
                  <c:pt idx="12">
                    <c:v>Transferências Obrigatórias (1º Decêndio)</c:v>
                  </c:pt>
                  <c:pt idx="13">
                    <c:v>Diferença</c:v>
                  </c:pt>
                  <c:pt idx="14">
                    <c:v>Depósito em conta até 30º dia</c:v>
                  </c:pt>
                  <c:pt idx="15">
                    <c:v>Transferências Obrigatórias (2º Decêndio)</c:v>
                  </c:pt>
                  <c:pt idx="16">
                    <c:v>Diferença</c:v>
                  </c:pt>
                  <c:pt idx="17">
                    <c:v>Depósito em conta até 10º dia do mês subs.</c:v>
                  </c:pt>
                  <c:pt idx="18">
                    <c:v>Transferências Obrigatórias (3º Decêndio)</c:v>
                  </c:pt>
                  <c:pt idx="19">
                    <c:v>Diferença</c:v>
                  </c:pt>
                  <c:pt idx="20">
                    <c:v>DESCRIÇÃO</c:v>
                  </c:pt>
                  <c:pt idx="21">
                    <c:v>Depósito em conta até 20º dia</c:v>
                  </c:pt>
                  <c:pt idx="22">
                    <c:v>Transferências Obrigatórias (1º Decêndio)</c:v>
                  </c:pt>
                  <c:pt idx="23">
                    <c:v>Diferença</c:v>
                  </c:pt>
                  <c:pt idx="24">
                    <c:v>Depósito em conta até 30º dia</c:v>
                  </c:pt>
                  <c:pt idx="25">
                    <c:v>Transferências Obrigatórias (2º Decêndio)</c:v>
                  </c:pt>
                  <c:pt idx="26">
                    <c:v>Diferença</c:v>
                  </c:pt>
                  <c:pt idx="27">
                    <c:v>Depósito em conta até 10º dia do mês subs.</c:v>
                  </c:pt>
                  <c:pt idx="28">
                    <c:v>Transferências Obrigatórias (3º Decêndio)</c:v>
                  </c:pt>
                  <c:pt idx="29">
                    <c:v>Diferença</c:v>
                  </c:pt>
                  <c:pt idx="30">
                    <c:v>DESCRIÇÃO</c:v>
                  </c:pt>
                  <c:pt idx="31">
                    <c:v>Total depositado em conta</c:v>
                  </c:pt>
                  <c:pt idx="32">
                    <c:v>Total das Transferências Obrigatórias</c:v>
                  </c:pt>
                  <c:pt idx="33">
                    <c:v>Diferença</c:v>
                  </c:pt>
                </c:lvl>
                <c:lvl>
                  <c:pt idx="0">
                    <c:v>PERÍODO (DIAS)</c:v>
                  </c:pt>
                  <c:pt idx="1">
                    <c:v>1º a 10</c:v>
                  </c:pt>
                  <c:pt idx="4">
                    <c:v>11 a 20</c:v>
                  </c:pt>
                  <c:pt idx="7">
                    <c:v>21 a 30</c:v>
                  </c:pt>
                  <c:pt idx="10">
                    <c:v>PERÍODO</c:v>
                  </c:pt>
                  <c:pt idx="11">
                    <c:v>1º a 10</c:v>
                  </c:pt>
                  <c:pt idx="14">
                    <c:v>11 a 20</c:v>
                  </c:pt>
                  <c:pt idx="17">
                    <c:v>21 a 30</c:v>
                  </c:pt>
                  <c:pt idx="20">
                    <c:v>PERÍODO</c:v>
                  </c:pt>
                  <c:pt idx="21">
                    <c:v>1º a 10</c:v>
                  </c:pt>
                  <c:pt idx="24">
                    <c:v>11 a 20</c:v>
                  </c:pt>
                  <c:pt idx="27">
                    <c:v>21 a 30</c:v>
                  </c:pt>
                  <c:pt idx="30">
                    <c:v>TOTAL DO 2º TRIMESTRE</c:v>
                  </c:pt>
                </c:lvl>
                <c:lvl>
                  <c:pt idx="0">
                    <c:v>MÊS</c:v>
                  </c:pt>
                  <c:pt idx="1">
                    <c:v>ABRIL</c:v>
                  </c:pt>
                  <c:pt idx="10">
                    <c:v>MÊS</c:v>
                  </c:pt>
                  <c:pt idx="11">
                    <c:v>MAIO</c:v>
                  </c:pt>
                  <c:pt idx="20">
                    <c:v>MÊS</c:v>
                  </c:pt>
                  <c:pt idx="21">
                    <c:v>JUNHO</c:v>
                  </c:pt>
                </c:lvl>
              </c:multiLvlStrCache>
            </c:multiLvlStrRef>
          </c:cat>
          <c:val>
            <c:numRef>
              <c:f>REPASSES!$H$82:$H$116</c:f>
              <c:numCache>
                <c:ptCount val="35"/>
                <c:pt idx="2">
                  <c:v>26003.559999999998</c:v>
                </c:pt>
                <c:pt idx="3">
                  <c:v>26003.559999999998</c:v>
                </c:pt>
                <c:pt idx="4">
                  <c:v>0</c:v>
                </c:pt>
                <c:pt idx="5">
                  <c:v>9277.949999999999</c:v>
                </c:pt>
                <c:pt idx="6">
                  <c:v>9277.949999999999</c:v>
                </c:pt>
                <c:pt idx="7">
                  <c:v>0</c:v>
                </c:pt>
                <c:pt idx="8">
                  <c:v>38256.33</c:v>
                </c:pt>
                <c:pt idx="9">
                  <c:v>38256.33</c:v>
                </c:pt>
                <c:pt idx="10">
                  <c:v>0</c:v>
                </c:pt>
                <c:pt idx="12">
                  <c:v>29604.34</c:v>
                </c:pt>
                <c:pt idx="13">
                  <c:v>29604.34</c:v>
                </c:pt>
                <c:pt idx="14">
                  <c:v>0</c:v>
                </c:pt>
                <c:pt idx="15">
                  <c:v>19439.45</c:v>
                </c:pt>
                <c:pt idx="16">
                  <c:v>19439.45</c:v>
                </c:pt>
                <c:pt idx="17">
                  <c:v>0</c:v>
                </c:pt>
                <c:pt idx="18">
                  <c:v>87888.34</c:v>
                </c:pt>
                <c:pt idx="19">
                  <c:v>87888.34</c:v>
                </c:pt>
                <c:pt idx="20">
                  <c:v>0</c:v>
                </c:pt>
                <c:pt idx="22">
                  <c:v>57795.58</c:v>
                </c:pt>
                <c:pt idx="23">
                  <c:v>57795.58</c:v>
                </c:pt>
                <c:pt idx="24">
                  <c:v>0</c:v>
                </c:pt>
                <c:pt idx="25">
                  <c:v>19548.52</c:v>
                </c:pt>
                <c:pt idx="26">
                  <c:v>19548.52</c:v>
                </c:pt>
                <c:pt idx="27">
                  <c:v>0</c:v>
                </c:pt>
                <c:pt idx="28">
                  <c:v>46765.66</c:v>
                </c:pt>
                <c:pt idx="29">
                  <c:v>46765.66</c:v>
                </c:pt>
                <c:pt idx="30">
                  <c:v>0</c:v>
                </c:pt>
                <c:pt idx="32">
                  <c:v>334579.73</c:v>
                </c:pt>
                <c:pt idx="33">
                  <c:v>334579.73</c:v>
                </c:pt>
                <c:pt idx="34">
                  <c:v>0</c:v>
                </c:pt>
              </c:numCache>
            </c:numRef>
          </c:val>
        </c:ser>
        <c:axId val="60407286"/>
        <c:axId val="6980831"/>
      </c:barChart>
      <c:catAx>
        <c:axId val="60407286"/>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950" b="0" i="0" u="none" baseline="0">
                <a:solidFill>
                  <a:srgbClr val="000000"/>
                </a:solidFill>
                <a:latin typeface="Arial"/>
                <a:ea typeface="Arial"/>
                <a:cs typeface="Arial"/>
              </a:defRPr>
            </a:pPr>
          </a:p>
        </c:txPr>
        <c:crossAx val="6980831"/>
        <c:crosses val="autoZero"/>
        <c:auto val="1"/>
        <c:lblOffset val="100"/>
        <c:tickLblSkip val="2"/>
        <c:noMultiLvlLbl val="0"/>
      </c:catAx>
      <c:valAx>
        <c:axId val="6980831"/>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60407286"/>
        <c:crossesAt val="1"/>
        <c:crossBetween val="between"/>
        <c:dispUnits/>
      </c:valAx>
      <c:spPr>
        <a:solidFill>
          <a:srgbClr val="C0C0C0"/>
        </a:solidFill>
        <a:ln w="12700">
          <a:solidFill>
            <a:srgbClr val="808080"/>
          </a:solidFill>
        </a:ln>
      </c:spPr>
    </c:plotArea>
    <c:legend>
      <c:legendPos val="r"/>
      <c:layout>
        <c:manualLayout>
          <c:xMode val="edge"/>
          <c:yMode val="edge"/>
          <c:x val="0.80575"/>
          <c:y val="0.2685"/>
          <c:w val="0.1895"/>
          <c:h val="0.142"/>
        </c:manualLayout>
      </c:layout>
      <c:overlay val="0"/>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950" b="0" i="0" u="none" baseline="0">
          <a:solidFill>
            <a:srgbClr val="000000"/>
          </a:solidFill>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sheet1.xml><?xml version="1.0" encoding="utf-8"?>
<chartsheet xmlns="http://schemas.openxmlformats.org/spreadsheetml/2006/main" xmlns:r="http://schemas.openxmlformats.org/officeDocument/2006/relationships">
  <sheetViews>
    <sheetView workbookViewId="0" zoomScale="96"/>
  </sheetViews>
  <pageMargins left="0.75" right="0.75" top="1" bottom="1" header="0.492125985" footer="0.492125985"/>
  <drawing r:id="rId1"/>
</chartsheet>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476250</xdr:colOff>
      <xdr:row>1</xdr:row>
      <xdr:rowOff>28575</xdr:rowOff>
    </xdr:from>
    <xdr:to>
      <xdr:col>4</xdr:col>
      <xdr:colOff>228600</xdr:colOff>
      <xdr:row>5</xdr:row>
      <xdr:rowOff>47625</xdr:rowOff>
    </xdr:to>
    <xdr:pic>
      <xdr:nvPicPr>
        <xdr:cNvPr id="1" name="Picture 48"/>
        <xdr:cNvPicPr preferRelativeResize="1">
          <a:picLocks noChangeAspect="1"/>
        </xdr:cNvPicPr>
      </xdr:nvPicPr>
      <xdr:blipFill>
        <a:blip r:embed="rId1"/>
        <a:stretch>
          <a:fillRect/>
        </a:stretch>
      </xdr:blipFill>
      <xdr:spPr>
        <a:xfrm>
          <a:off x="523875" y="85725"/>
          <a:ext cx="561975" cy="5810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19050</xdr:colOff>
      <xdr:row>0</xdr:row>
      <xdr:rowOff>9525</xdr:rowOff>
    </xdr:from>
    <xdr:to>
      <xdr:col>4</xdr:col>
      <xdr:colOff>133350</xdr:colOff>
      <xdr:row>3</xdr:row>
      <xdr:rowOff>266700</xdr:rowOff>
    </xdr:to>
    <xdr:pic>
      <xdr:nvPicPr>
        <xdr:cNvPr id="1" name="Picture 1"/>
        <xdr:cNvPicPr preferRelativeResize="1">
          <a:picLocks noChangeAspect="1"/>
        </xdr:cNvPicPr>
      </xdr:nvPicPr>
      <xdr:blipFill>
        <a:blip r:embed="rId1"/>
        <a:stretch>
          <a:fillRect/>
        </a:stretch>
      </xdr:blipFill>
      <xdr:spPr>
        <a:xfrm>
          <a:off x="323850" y="9525"/>
          <a:ext cx="533400" cy="5238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753100"/>
    <xdr:graphicFrame>
      <xdr:nvGraphicFramePr>
        <xdr:cNvPr id="1" name="Shape 1025"/>
        <xdr:cNvGraphicFramePr/>
      </xdr:nvGraphicFramePr>
      <xdr:xfrm>
        <a:off x="0" y="0"/>
        <a:ext cx="8677275" cy="5753100"/>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9.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0.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1.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2.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3.v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vmlDrawing" Target="../drawings/vmlDrawing14.v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vmlDrawing" Target="../drawings/vmlDrawing15.v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vmlDrawing" Target="../drawings/vmlDrawing16.v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vmlDrawing" Target="../drawings/vmlDrawing17.v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vmlDrawing" Target="../drawings/vmlDrawing18.v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vmlDrawing" Target="../drawings/vmlDrawing19.v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comments" Target="../comments23.xml" /><Relationship Id="rId2" Type="http://schemas.openxmlformats.org/officeDocument/2006/relationships/vmlDrawing" Target="../drawings/vmlDrawing20.vml" /><Relationship Id="rId3" Type="http://schemas.openxmlformats.org/officeDocument/2006/relationships/printerSettings" Target="../printerSettings/printerSettings2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drawing" Target="../drawings/drawing2.x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Plan11"/>
  <dimension ref="R3:Z19"/>
  <sheetViews>
    <sheetView zoomScalePageLayoutView="0" workbookViewId="0" topLeftCell="A1">
      <selection activeCell="Q1" sqref="Q1:Z1"/>
    </sheetView>
  </sheetViews>
  <sheetFormatPr defaultColWidth="9.140625" defaultRowHeight="12.75"/>
  <cols>
    <col min="1" max="16" width="9.140625" style="253" customWidth="1"/>
    <col min="17" max="20" width="9.140625" style="253" hidden="1" customWidth="1"/>
    <col min="21" max="21" width="14.57421875" style="253" hidden="1" customWidth="1"/>
    <col min="22" max="26" width="9.140625" style="253" hidden="1" customWidth="1"/>
    <col min="27" max="73" width="8.8515625" style="253" customWidth="1"/>
    <col min="74" max="16384" width="9.140625" style="253" customWidth="1"/>
  </cols>
  <sheetData>
    <row r="3" spans="18:25" ht="12.75">
      <c r="R3" s="260"/>
      <c r="S3" s="261" t="s">
        <v>267</v>
      </c>
      <c r="T3" s="262">
        <v>4</v>
      </c>
      <c r="U3" s="263"/>
      <c r="V3" s="260"/>
      <c r="W3" s="261" t="s">
        <v>269</v>
      </c>
      <c r="X3" s="264">
        <v>3</v>
      </c>
      <c r="Y3" s="265"/>
    </row>
    <row r="4" spans="18:25" ht="12.75">
      <c r="R4" s="266"/>
      <c r="S4" s="267"/>
      <c r="T4" s="268"/>
      <c r="U4" s="49"/>
      <c r="V4" s="266"/>
      <c r="W4" s="267"/>
      <c r="X4" s="269"/>
      <c r="Y4" s="50"/>
    </row>
    <row r="5" spans="18:25" ht="12.75">
      <c r="R5" s="270"/>
      <c r="S5" s="271"/>
      <c r="T5" s="271"/>
      <c r="U5" s="49"/>
      <c r="V5" s="270"/>
      <c r="W5" s="271"/>
      <c r="X5" s="271"/>
      <c r="Y5" s="50"/>
    </row>
    <row r="6" spans="18:25" ht="12.75">
      <c r="R6" s="270">
        <v>1</v>
      </c>
      <c r="S6" s="271" t="s">
        <v>294</v>
      </c>
      <c r="T6" s="271"/>
      <c r="U6" s="47" t="str">
        <f>LOOKUP(T3,R6:R9,S6:S9)</f>
        <v>4º TRIMESTRE</v>
      </c>
      <c r="V6" s="270">
        <v>1</v>
      </c>
      <c r="W6" s="272" t="s">
        <v>771</v>
      </c>
      <c r="X6" s="271">
        <v>1</v>
      </c>
      <c r="Y6" s="48" t="str">
        <f>LOOKUP(X3,V6:V14,W6:W14)</f>
        <v>2009</v>
      </c>
    </row>
    <row r="7" spans="18:25" ht="12.75">
      <c r="R7" s="270">
        <v>2</v>
      </c>
      <c r="S7" s="271" t="s">
        <v>295</v>
      </c>
      <c r="T7" s="271"/>
      <c r="U7" s="49"/>
      <c r="V7" s="270">
        <v>2</v>
      </c>
      <c r="W7" s="272" t="s">
        <v>772</v>
      </c>
      <c r="X7" s="273"/>
      <c r="Y7" s="50"/>
    </row>
    <row r="8" spans="18:25" ht="12.75">
      <c r="R8" s="270">
        <v>3</v>
      </c>
      <c r="S8" s="271" t="s">
        <v>296</v>
      </c>
      <c r="T8" s="271"/>
      <c r="U8" s="49"/>
      <c r="V8" s="270">
        <v>3</v>
      </c>
      <c r="W8" s="272" t="s">
        <v>773</v>
      </c>
      <c r="X8" s="273"/>
      <c r="Y8" s="50"/>
    </row>
    <row r="9" spans="18:25" ht="12.75">
      <c r="R9" s="270">
        <v>4</v>
      </c>
      <c r="S9" s="271" t="s">
        <v>297</v>
      </c>
      <c r="T9" s="271"/>
      <c r="U9" s="49"/>
      <c r="V9" s="270">
        <v>4</v>
      </c>
      <c r="W9" s="272" t="s">
        <v>774</v>
      </c>
      <c r="X9" s="49"/>
      <c r="Y9" s="50"/>
    </row>
    <row r="10" spans="18:25" ht="12.75">
      <c r="R10" s="274"/>
      <c r="S10" s="275"/>
      <c r="T10" s="275"/>
      <c r="U10" s="276"/>
      <c r="V10" s="270">
        <v>5</v>
      </c>
      <c r="W10" s="272" t="s">
        <v>775</v>
      </c>
      <c r="X10" s="49"/>
      <c r="Y10" s="50"/>
    </row>
    <row r="11" spans="22:25" ht="12.75">
      <c r="V11" s="270">
        <v>6</v>
      </c>
      <c r="W11" s="272" t="s">
        <v>776</v>
      </c>
      <c r="X11" s="49"/>
      <c r="Y11" s="50"/>
    </row>
    <row r="12" spans="22:25" ht="12.75">
      <c r="V12" s="270">
        <v>7</v>
      </c>
      <c r="W12" s="49">
        <v>2013</v>
      </c>
      <c r="X12" s="49"/>
      <c r="Y12" s="50"/>
    </row>
    <row r="13" spans="22:25" ht="12.75">
      <c r="V13" s="277">
        <v>8</v>
      </c>
      <c r="W13" s="49">
        <v>2014</v>
      </c>
      <c r="X13" s="49"/>
      <c r="Y13" s="50"/>
    </row>
    <row r="14" spans="22:25" ht="12.75">
      <c r="V14" s="278">
        <v>9</v>
      </c>
      <c r="W14" s="276">
        <v>2015</v>
      </c>
      <c r="X14" s="276"/>
      <c r="Y14" s="279"/>
    </row>
    <row r="15" spans="19:26" ht="12.75">
      <c r="S15" s="280" t="s">
        <v>1098</v>
      </c>
      <c r="T15" s="265"/>
      <c r="V15" s="280"/>
      <c r="W15" s="263"/>
      <c r="X15" s="263"/>
      <c r="Y15" s="263"/>
      <c r="Z15" s="265">
        <v>1</v>
      </c>
    </row>
    <row r="16" spans="19:26" ht="12.75">
      <c r="S16" s="281">
        <v>126</v>
      </c>
      <c r="T16" s="50"/>
      <c r="V16" s="277">
        <v>1</v>
      </c>
      <c r="W16" s="49" t="s">
        <v>1159</v>
      </c>
      <c r="X16" s="49"/>
      <c r="Y16" s="49"/>
      <c r="Z16" s="50"/>
    </row>
    <row r="17" spans="19:26" ht="12.75">
      <c r="S17" s="266"/>
      <c r="T17" s="50"/>
      <c r="V17" s="277">
        <v>2</v>
      </c>
      <c r="W17" s="583" t="s">
        <v>1244</v>
      </c>
      <c r="X17" s="584"/>
      <c r="Y17" s="584"/>
      <c r="Z17" s="585"/>
    </row>
    <row r="18" spans="19:26" ht="12.75">
      <c r="S18" s="270"/>
      <c r="T18" s="50"/>
      <c r="V18" s="278"/>
      <c r="W18" s="276"/>
      <c r="X18" s="276"/>
      <c r="Y18" s="276"/>
      <c r="Z18" s="279"/>
    </row>
    <row r="19" spans="19:20" ht="12.75">
      <c r="S19" s="282" t="str">
        <f>LOOKUP(S16,CADASTROS!B5:B654,CADASTROS!C5:C654)</f>
        <v>CESÁRIO LANGE</v>
      </c>
      <c r="T19" s="279"/>
    </row>
  </sheetData>
  <sheetProtection password="DEF0" sheet="1" objects="1" scenarios="1"/>
  <mergeCells count="1">
    <mergeCell ref="W17:Z17"/>
  </mergeCells>
  <printOptions/>
  <pageMargins left="0.75" right="0.75" top="1" bottom="1" header="0.492125985" footer="0.492125985"/>
  <pageSetup horizontalDpi="360" verticalDpi="360" orientation="portrait" paperSize="9" r:id="rId1"/>
</worksheet>
</file>

<file path=xl/worksheets/sheet10.xml><?xml version="1.0" encoding="utf-8"?>
<worksheet xmlns="http://schemas.openxmlformats.org/spreadsheetml/2006/main" xmlns:r="http://schemas.openxmlformats.org/officeDocument/2006/relationships">
  <sheetPr codeName="Plan4"/>
  <dimension ref="A1:J54"/>
  <sheetViews>
    <sheetView showGridLines="0" showRowColHeaders="0" zoomScale="88" zoomScaleNormal="88" zoomScalePageLayoutView="0" workbookViewId="0" topLeftCell="A1">
      <selection activeCell="H47" sqref="H47"/>
    </sheetView>
  </sheetViews>
  <sheetFormatPr defaultColWidth="0" defaultRowHeight="12.75"/>
  <cols>
    <col min="1" max="1" width="2.421875" style="121" customWidth="1"/>
    <col min="2" max="2" width="12.7109375" style="121" customWidth="1"/>
    <col min="3" max="3" width="44.7109375" style="121" customWidth="1"/>
    <col min="4" max="9" width="23.7109375" style="121" customWidth="1"/>
    <col min="10" max="10" width="1.7109375" style="121" customWidth="1"/>
    <col min="11" max="16384" width="0" style="121" hidden="1" customWidth="1"/>
  </cols>
  <sheetData>
    <row r="1" spans="1:10" ht="7.5" customHeight="1">
      <c r="A1" s="119"/>
      <c r="B1" s="120"/>
      <c r="C1" s="120"/>
      <c r="D1" s="120"/>
      <c r="E1" s="120"/>
      <c r="F1" s="120"/>
      <c r="G1" s="120"/>
      <c r="H1" s="120"/>
      <c r="I1" s="120"/>
      <c r="J1" s="120"/>
    </row>
    <row r="2" spans="1:10" ht="12.75" customHeight="1">
      <c r="A2" s="119"/>
      <c r="B2" s="677" t="s">
        <v>1223</v>
      </c>
      <c r="C2" s="678"/>
      <c r="D2" s="682" t="str">
        <f>COMANDOBLOQUEADO!S19</f>
        <v>CESÁRIO LANGE</v>
      </c>
      <c r="E2" s="684"/>
      <c r="F2" s="685" t="s">
        <v>268</v>
      </c>
      <c r="G2" s="683" t="str">
        <f>COMANDOBLOQUEADO!U6</f>
        <v>4º TRIMESTRE</v>
      </c>
      <c r="H2" s="682" t="str">
        <f>COMANDOBLOQUEADO!Y6</f>
        <v>2009</v>
      </c>
      <c r="I2" s="682"/>
      <c r="J2" s="120"/>
    </row>
    <row r="3" spans="1:10" ht="12.75" customHeight="1">
      <c r="A3" s="119"/>
      <c r="B3" s="677"/>
      <c r="C3" s="678"/>
      <c r="D3" s="682"/>
      <c r="E3" s="682"/>
      <c r="F3" s="683"/>
      <c r="G3" s="683"/>
      <c r="H3" s="682"/>
      <c r="I3" s="682"/>
      <c r="J3" s="120"/>
    </row>
    <row r="4" spans="1:10" ht="7.5" customHeight="1">
      <c r="A4" s="120"/>
      <c r="B4" s="154"/>
      <c r="C4" s="57"/>
      <c r="D4" s="57"/>
      <c r="E4" s="57"/>
      <c r="F4" s="57"/>
      <c r="G4" s="57"/>
      <c r="H4" s="57"/>
      <c r="I4" s="57"/>
      <c r="J4" s="120"/>
    </row>
    <row r="5" spans="1:10" ht="21" customHeight="1">
      <c r="A5" s="120"/>
      <c r="B5" s="154"/>
      <c r="C5" s="660" t="s">
        <v>105</v>
      </c>
      <c r="D5" s="661"/>
      <c r="E5" s="661"/>
      <c r="F5" s="661"/>
      <c r="G5" s="661"/>
      <c r="H5" s="661"/>
      <c r="I5" s="661"/>
      <c r="J5" s="661"/>
    </row>
    <row r="6" spans="1:10" ht="7.5" customHeight="1" thickBot="1">
      <c r="A6" s="122"/>
      <c r="B6" s="660"/>
      <c r="C6" s="661"/>
      <c r="D6" s="661"/>
      <c r="E6" s="661"/>
      <c r="F6" s="661"/>
      <c r="G6" s="661"/>
      <c r="H6" s="661"/>
      <c r="I6" s="661"/>
      <c r="J6" s="120"/>
    </row>
    <row r="7" spans="1:10" ht="15" customHeight="1">
      <c r="A7" s="122"/>
      <c r="B7" s="662" t="s">
        <v>1001</v>
      </c>
      <c r="C7" s="663"/>
      <c r="D7" s="123" t="s">
        <v>294</v>
      </c>
      <c r="E7" s="123" t="s">
        <v>295</v>
      </c>
      <c r="F7" s="123" t="s">
        <v>296</v>
      </c>
      <c r="G7" s="123" t="s">
        <v>297</v>
      </c>
      <c r="H7" s="668" t="s">
        <v>1188</v>
      </c>
      <c r="I7" s="679" t="s">
        <v>1189</v>
      </c>
      <c r="J7" s="120"/>
    </row>
    <row r="8" spans="1:10" ht="15" customHeight="1">
      <c r="A8" s="122"/>
      <c r="B8" s="664"/>
      <c r="C8" s="665"/>
      <c r="D8" s="673" t="s">
        <v>1190</v>
      </c>
      <c r="E8" s="675" t="s">
        <v>1111</v>
      </c>
      <c r="F8" s="675" t="s">
        <v>1111</v>
      </c>
      <c r="G8" s="675" t="s">
        <v>1111</v>
      </c>
      <c r="H8" s="669"/>
      <c r="I8" s="680"/>
      <c r="J8" s="120"/>
    </row>
    <row r="9" spans="1:10" ht="15" customHeight="1" thickBot="1">
      <c r="A9" s="122"/>
      <c r="B9" s="666"/>
      <c r="C9" s="667"/>
      <c r="D9" s="674"/>
      <c r="E9" s="676"/>
      <c r="F9" s="676"/>
      <c r="G9" s="676"/>
      <c r="H9" s="670"/>
      <c r="I9" s="681"/>
      <c r="J9" s="120"/>
    </row>
    <row r="10" spans="1:10" ht="15.75" customHeight="1" thickBot="1">
      <c r="A10" s="122"/>
      <c r="B10" s="124" t="s">
        <v>1176</v>
      </c>
      <c r="C10" s="125" t="s">
        <v>1116</v>
      </c>
      <c r="D10" s="126" t="s">
        <v>192</v>
      </c>
      <c r="E10" s="126" t="s">
        <v>192</v>
      </c>
      <c r="F10" s="126" t="s">
        <v>192</v>
      </c>
      <c r="G10" s="126" t="s">
        <v>192</v>
      </c>
      <c r="H10" s="126" t="s">
        <v>192</v>
      </c>
      <c r="I10" s="127" t="s">
        <v>192</v>
      </c>
      <c r="J10" s="120"/>
    </row>
    <row r="11" spans="1:10" ht="15" customHeight="1">
      <c r="A11" s="122"/>
      <c r="B11" s="131" t="s">
        <v>1173</v>
      </c>
      <c r="C11" s="67" t="s">
        <v>1163</v>
      </c>
      <c r="D11" s="129">
        <v>0</v>
      </c>
      <c r="E11" s="129">
        <v>0</v>
      </c>
      <c r="F11" s="129">
        <v>0</v>
      </c>
      <c r="G11" s="129">
        <v>0</v>
      </c>
      <c r="H11" s="129">
        <v>0</v>
      </c>
      <c r="I11" s="130">
        <v>0</v>
      </c>
      <c r="J11" s="120"/>
    </row>
    <row r="12" spans="1:10" ht="15" customHeight="1">
      <c r="A12" s="122"/>
      <c r="B12" s="131" t="s">
        <v>1164</v>
      </c>
      <c r="C12" s="67" t="s">
        <v>1165</v>
      </c>
      <c r="D12" s="129">
        <v>0</v>
      </c>
      <c r="E12" s="129">
        <v>0</v>
      </c>
      <c r="F12" s="129">
        <v>0</v>
      </c>
      <c r="G12" s="129">
        <v>0</v>
      </c>
      <c r="H12" s="129">
        <v>0</v>
      </c>
      <c r="I12" s="130">
        <v>0</v>
      </c>
      <c r="J12" s="120"/>
    </row>
    <row r="13" spans="1:10" ht="15" customHeight="1">
      <c r="A13" s="122"/>
      <c r="B13" s="131" t="s">
        <v>1166</v>
      </c>
      <c r="C13" s="67" t="s">
        <v>1167</v>
      </c>
      <c r="D13" s="129">
        <v>0</v>
      </c>
      <c r="E13" s="129">
        <v>0</v>
      </c>
      <c r="F13" s="129">
        <v>0</v>
      </c>
      <c r="G13" s="129">
        <v>0</v>
      </c>
      <c r="H13" s="129">
        <v>0</v>
      </c>
      <c r="I13" s="130">
        <v>0</v>
      </c>
      <c r="J13" s="120"/>
    </row>
    <row r="14" spans="1:10" ht="15" customHeight="1">
      <c r="A14" s="122"/>
      <c r="B14" s="131" t="s">
        <v>1168</v>
      </c>
      <c r="C14" s="67" t="s">
        <v>1242</v>
      </c>
      <c r="D14" s="129">
        <v>0</v>
      </c>
      <c r="E14" s="129">
        <v>0</v>
      </c>
      <c r="F14" s="129">
        <v>0</v>
      </c>
      <c r="G14" s="129">
        <v>0</v>
      </c>
      <c r="H14" s="129">
        <v>0</v>
      </c>
      <c r="I14" s="130">
        <v>0</v>
      </c>
      <c r="J14" s="120"/>
    </row>
    <row r="15" spans="1:10" ht="15" customHeight="1">
      <c r="A15" s="122"/>
      <c r="B15" s="131" t="s">
        <v>1174</v>
      </c>
      <c r="C15" s="67" t="s">
        <v>1175</v>
      </c>
      <c r="D15" s="129">
        <v>0</v>
      </c>
      <c r="E15" s="129">
        <v>0</v>
      </c>
      <c r="F15" s="129">
        <v>0</v>
      </c>
      <c r="G15" s="129">
        <v>0</v>
      </c>
      <c r="H15" s="129">
        <v>0</v>
      </c>
      <c r="I15" s="130">
        <v>0</v>
      </c>
      <c r="J15" s="120"/>
    </row>
    <row r="16" spans="1:10" ht="15" customHeight="1">
      <c r="A16" s="122"/>
      <c r="B16" s="131" t="s">
        <v>1177</v>
      </c>
      <c r="C16" s="67" t="s">
        <v>1178</v>
      </c>
      <c r="D16" s="129">
        <v>0</v>
      </c>
      <c r="E16" s="129">
        <v>0</v>
      </c>
      <c r="F16" s="129">
        <v>0</v>
      </c>
      <c r="G16" s="129">
        <v>0</v>
      </c>
      <c r="H16" s="129">
        <v>0</v>
      </c>
      <c r="I16" s="130">
        <v>0</v>
      </c>
      <c r="J16" s="120"/>
    </row>
    <row r="17" spans="1:10" ht="15" customHeight="1">
      <c r="A17" s="122"/>
      <c r="B17" s="131" t="s">
        <v>1180</v>
      </c>
      <c r="C17" s="67" t="s">
        <v>1179</v>
      </c>
      <c r="D17" s="129">
        <v>0</v>
      </c>
      <c r="E17" s="129">
        <v>0</v>
      </c>
      <c r="F17" s="129">
        <v>0</v>
      </c>
      <c r="G17" s="129">
        <v>0</v>
      </c>
      <c r="H17" s="129">
        <v>0</v>
      </c>
      <c r="I17" s="130">
        <v>0</v>
      </c>
      <c r="J17" s="120"/>
    </row>
    <row r="18" spans="1:10" ht="15" customHeight="1">
      <c r="A18" s="122"/>
      <c r="B18" s="131" t="s">
        <v>486</v>
      </c>
      <c r="C18" s="67" t="s">
        <v>1181</v>
      </c>
      <c r="D18" s="129">
        <v>0</v>
      </c>
      <c r="E18" s="129">
        <v>0</v>
      </c>
      <c r="F18" s="129">
        <v>0</v>
      </c>
      <c r="G18" s="129">
        <v>0</v>
      </c>
      <c r="H18" s="129">
        <v>0</v>
      </c>
      <c r="I18" s="130">
        <v>0</v>
      </c>
      <c r="J18" s="120"/>
    </row>
    <row r="19" spans="1:10" ht="15" customHeight="1">
      <c r="A19" s="122"/>
      <c r="B19" s="131" t="s">
        <v>487</v>
      </c>
      <c r="C19" s="67" t="s">
        <v>1182</v>
      </c>
      <c r="D19" s="129">
        <v>0</v>
      </c>
      <c r="E19" s="129">
        <v>0</v>
      </c>
      <c r="F19" s="129">
        <v>0</v>
      </c>
      <c r="G19" s="129">
        <v>0</v>
      </c>
      <c r="H19" s="129">
        <v>0</v>
      </c>
      <c r="I19" s="130">
        <v>0</v>
      </c>
      <c r="J19" s="120"/>
    </row>
    <row r="20" spans="1:10" ht="15" customHeight="1">
      <c r="A20" s="122"/>
      <c r="B20" s="132"/>
      <c r="C20" s="133"/>
      <c r="D20" s="129"/>
      <c r="E20" s="129"/>
      <c r="F20" s="129"/>
      <c r="G20" s="129"/>
      <c r="H20" s="129"/>
      <c r="I20" s="130"/>
      <c r="J20" s="120"/>
    </row>
    <row r="21" spans="1:10" ht="15" customHeight="1">
      <c r="A21" s="122"/>
      <c r="B21" s="132"/>
      <c r="C21" s="133"/>
      <c r="D21" s="129"/>
      <c r="E21" s="129"/>
      <c r="F21" s="129"/>
      <c r="G21" s="129"/>
      <c r="H21" s="129"/>
      <c r="I21" s="130"/>
      <c r="J21" s="120"/>
    </row>
    <row r="22" spans="1:10" ht="15" customHeight="1">
      <c r="A22" s="122"/>
      <c r="B22" s="132"/>
      <c r="C22" s="133"/>
      <c r="D22" s="129"/>
      <c r="E22" s="129"/>
      <c r="F22" s="129"/>
      <c r="G22" s="129"/>
      <c r="H22" s="129"/>
      <c r="I22" s="130"/>
      <c r="J22" s="120"/>
    </row>
    <row r="23" spans="1:10" ht="15" customHeight="1">
      <c r="A23" s="122"/>
      <c r="B23" s="132"/>
      <c r="C23" s="133"/>
      <c r="D23" s="129"/>
      <c r="E23" s="129"/>
      <c r="F23" s="129"/>
      <c r="G23" s="129"/>
      <c r="H23" s="129"/>
      <c r="I23" s="130"/>
      <c r="J23" s="120"/>
    </row>
    <row r="24" spans="1:10" ht="15" customHeight="1">
      <c r="A24" s="122"/>
      <c r="B24" s="132"/>
      <c r="C24" s="133"/>
      <c r="D24" s="129"/>
      <c r="E24" s="129"/>
      <c r="F24" s="129"/>
      <c r="G24" s="129"/>
      <c r="H24" s="129"/>
      <c r="I24" s="130"/>
      <c r="J24" s="120"/>
    </row>
    <row r="25" spans="1:10" ht="15" customHeight="1" thickBot="1">
      <c r="A25" s="122"/>
      <c r="B25" s="132"/>
      <c r="C25" s="133"/>
      <c r="D25" s="129"/>
      <c r="E25" s="129"/>
      <c r="F25" s="129"/>
      <c r="G25" s="129"/>
      <c r="H25" s="129"/>
      <c r="I25" s="130"/>
      <c r="J25" s="120"/>
    </row>
    <row r="26" spans="1:10" ht="15" customHeight="1" thickBot="1">
      <c r="A26" s="122"/>
      <c r="B26" s="671" t="s">
        <v>1102</v>
      </c>
      <c r="C26" s="672"/>
      <c r="D26" s="136">
        <f aca="true" t="shared" si="0" ref="D26:I26">SUM(D11:D25)</f>
        <v>0</v>
      </c>
      <c r="E26" s="136">
        <f t="shared" si="0"/>
        <v>0</v>
      </c>
      <c r="F26" s="136">
        <f t="shared" si="0"/>
        <v>0</v>
      </c>
      <c r="G26" s="136">
        <f t="shared" si="0"/>
        <v>0</v>
      </c>
      <c r="H26" s="136">
        <f t="shared" si="0"/>
        <v>0</v>
      </c>
      <c r="I26" s="193">
        <f t="shared" si="0"/>
        <v>0</v>
      </c>
      <c r="J26" s="120"/>
    </row>
    <row r="27" spans="1:10" ht="15.75" customHeight="1" thickBot="1">
      <c r="A27" s="122"/>
      <c r="B27" s="124" t="s">
        <v>1176</v>
      </c>
      <c r="C27" s="125" t="s">
        <v>1183</v>
      </c>
      <c r="D27" s="126" t="s">
        <v>192</v>
      </c>
      <c r="E27" s="126" t="s">
        <v>192</v>
      </c>
      <c r="F27" s="126" t="s">
        <v>192</v>
      </c>
      <c r="G27" s="126" t="s">
        <v>192</v>
      </c>
      <c r="H27" s="126" t="s">
        <v>192</v>
      </c>
      <c r="I27" s="127" t="s">
        <v>192</v>
      </c>
      <c r="J27" s="120"/>
    </row>
    <row r="28" spans="1:10" ht="15" customHeight="1">
      <c r="A28" s="122"/>
      <c r="B28" s="131" t="s">
        <v>1173</v>
      </c>
      <c r="C28" s="67" t="s">
        <v>1163</v>
      </c>
      <c r="D28" s="129">
        <v>0</v>
      </c>
      <c r="E28" s="129">
        <v>0</v>
      </c>
      <c r="F28" s="129">
        <v>0</v>
      </c>
      <c r="G28" s="129">
        <v>0</v>
      </c>
      <c r="H28" s="129">
        <v>0</v>
      </c>
      <c r="I28" s="130">
        <v>0</v>
      </c>
      <c r="J28" s="120"/>
    </row>
    <row r="29" spans="1:10" ht="15" customHeight="1">
      <c r="A29" s="122"/>
      <c r="B29" s="131" t="s">
        <v>1164</v>
      </c>
      <c r="C29" s="67" t="s">
        <v>1165</v>
      </c>
      <c r="D29" s="129">
        <v>0</v>
      </c>
      <c r="E29" s="129">
        <v>0</v>
      </c>
      <c r="F29" s="129">
        <v>0</v>
      </c>
      <c r="G29" s="129">
        <v>0</v>
      </c>
      <c r="H29" s="129">
        <v>0</v>
      </c>
      <c r="I29" s="130">
        <v>0</v>
      </c>
      <c r="J29" s="120"/>
    </row>
    <row r="30" spans="1:10" ht="15" customHeight="1">
      <c r="A30" s="122"/>
      <c r="B30" s="131" t="s">
        <v>1166</v>
      </c>
      <c r="C30" s="67" t="s">
        <v>1167</v>
      </c>
      <c r="D30" s="129">
        <v>0</v>
      </c>
      <c r="E30" s="129">
        <v>0</v>
      </c>
      <c r="F30" s="129">
        <v>0</v>
      </c>
      <c r="G30" s="129">
        <v>0</v>
      </c>
      <c r="H30" s="129">
        <v>0</v>
      </c>
      <c r="I30" s="130">
        <v>0</v>
      </c>
      <c r="J30" s="120"/>
    </row>
    <row r="31" spans="1:10" ht="15" customHeight="1">
      <c r="A31" s="122"/>
      <c r="B31" s="131" t="s">
        <v>1168</v>
      </c>
      <c r="C31" s="67" t="s">
        <v>1242</v>
      </c>
      <c r="D31" s="129">
        <v>0</v>
      </c>
      <c r="E31" s="129">
        <v>0</v>
      </c>
      <c r="F31" s="129">
        <v>0</v>
      </c>
      <c r="G31" s="129">
        <v>0</v>
      </c>
      <c r="H31" s="129">
        <v>0</v>
      </c>
      <c r="I31" s="130">
        <v>0</v>
      </c>
      <c r="J31" s="120"/>
    </row>
    <row r="32" spans="1:10" ht="15" customHeight="1">
      <c r="A32" s="122"/>
      <c r="B32" s="131" t="s">
        <v>1174</v>
      </c>
      <c r="C32" s="67" t="s">
        <v>1175</v>
      </c>
      <c r="D32" s="129">
        <v>43044.44</v>
      </c>
      <c r="E32" s="129">
        <v>93976.32</v>
      </c>
      <c r="F32" s="129">
        <f>303945.59+16038.15-186743.45+36187.74-26994.48</f>
        <v>142433.55000000002</v>
      </c>
      <c r="G32" s="129">
        <v>291189.38</v>
      </c>
      <c r="H32" s="129">
        <v>291189.38</v>
      </c>
      <c r="I32" s="130">
        <v>291189.38</v>
      </c>
      <c r="J32" s="120"/>
    </row>
    <row r="33" spans="1:10" ht="15" customHeight="1">
      <c r="A33" s="122"/>
      <c r="B33" s="131" t="s">
        <v>1177</v>
      </c>
      <c r="C33" s="67" t="s">
        <v>1178</v>
      </c>
      <c r="D33" s="129">
        <v>8951.9</v>
      </c>
      <c r="E33" s="129">
        <f>19628.59+1057</f>
        <v>20685.59</v>
      </c>
      <c r="F33" s="129">
        <v>33414.9</v>
      </c>
      <c r="G33" s="129">
        <v>44336.22</v>
      </c>
      <c r="H33" s="129">
        <v>44336.22</v>
      </c>
      <c r="I33" s="130">
        <v>44336.22</v>
      </c>
      <c r="J33" s="120"/>
    </row>
    <row r="34" spans="1:10" ht="15" customHeight="1">
      <c r="A34" s="122"/>
      <c r="B34" s="131" t="s">
        <v>1180</v>
      </c>
      <c r="C34" s="67" t="s">
        <v>1179</v>
      </c>
      <c r="D34" s="129">
        <v>130573.59</v>
      </c>
      <c r="E34" s="129">
        <v>432205.49</v>
      </c>
      <c r="F34" s="129">
        <v>143846.55</v>
      </c>
      <c r="G34" s="129">
        <v>1000886.99</v>
      </c>
      <c r="H34" s="129">
        <v>1000886.99</v>
      </c>
      <c r="I34" s="130">
        <v>1000886.99</v>
      </c>
      <c r="J34" s="120"/>
    </row>
    <row r="35" spans="1:10" ht="15" customHeight="1">
      <c r="A35" s="122"/>
      <c r="B35" s="131" t="s">
        <v>486</v>
      </c>
      <c r="C35" s="67" t="s">
        <v>1181</v>
      </c>
      <c r="D35" s="129">
        <v>0</v>
      </c>
      <c r="E35" s="129">
        <v>0</v>
      </c>
      <c r="F35" s="129">
        <v>0</v>
      </c>
      <c r="G35" s="129">
        <v>0</v>
      </c>
      <c r="H35" s="129">
        <v>0</v>
      </c>
      <c r="I35" s="130">
        <v>0</v>
      </c>
      <c r="J35" s="120"/>
    </row>
    <row r="36" spans="1:10" ht="15" customHeight="1">
      <c r="A36" s="122"/>
      <c r="B36" s="131" t="s">
        <v>487</v>
      </c>
      <c r="C36" s="67" t="s">
        <v>1182</v>
      </c>
      <c r="D36" s="129">
        <v>14052.87</v>
      </c>
      <c r="E36" s="129">
        <v>15289.87</v>
      </c>
      <c r="F36" s="129">
        <v>15289.87</v>
      </c>
      <c r="G36" s="129">
        <v>140731.87</v>
      </c>
      <c r="H36" s="129">
        <v>140731.87</v>
      </c>
      <c r="I36" s="130">
        <v>140731.87</v>
      </c>
      <c r="J36" s="120"/>
    </row>
    <row r="37" spans="1:10" ht="15" customHeight="1">
      <c r="A37" s="122"/>
      <c r="B37" s="132" t="s">
        <v>924</v>
      </c>
      <c r="C37" s="133" t="s">
        <v>925</v>
      </c>
      <c r="D37" s="129">
        <v>15000</v>
      </c>
      <c r="E37" s="129">
        <v>30000</v>
      </c>
      <c r="F37" s="129">
        <v>45000</v>
      </c>
      <c r="G37" s="129">
        <v>60000</v>
      </c>
      <c r="H37" s="129">
        <v>60000</v>
      </c>
      <c r="I37" s="130">
        <v>60000</v>
      </c>
      <c r="J37" s="120"/>
    </row>
    <row r="38" spans="1:10" ht="15" customHeight="1">
      <c r="A38" s="122"/>
      <c r="B38" s="132" t="s">
        <v>687</v>
      </c>
      <c r="C38" s="133" t="s">
        <v>926</v>
      </c>
      <c r="D38" s="129">
        <v>24273.48</v>
      </c>
      <c r="E38" s="129">
        <v>40479.48</v>
      </c>
      <c r="F38" s="129">
        <v>56685.48</v>
      </c>
      <c r="G38" s="129">
        <v>72453.48</v>
      </c>
      <c r="H38" s="129">
        <v>72453.48</v>
      </c>
      <c r="I38" s="130">
        <v>72453.48</v>
      </c>
      <c r="J38" s="120"/>
    </row>
    <row r="39" spans="1:10" ht="15" customHeight="1">
      <c r="A39" s="122"/>
      <c r="B39" s="132"/>
      <c r="C39" s="133" t="s">
        <v>1031</v>
      </c>
      <c r="D39" s="129">
        <v>0</v>
      </c>
      <c r="E39" s="129">
        <v>0</v>
      </c>
      <c r="F39" s="129">
        <v>0</v>
      </c>
      <c r="G39" s="129">
        <v>200000</v>
      </c>
      <c r="H39" s="129">
        <v>200000</v>
      </c>
      <c r="I39" s="130">
        <v>200000</v>
      </c>
      <c r="J39" s="120"/>
    </row>
    <row r="40" spans="1:10" ht="15" customHeight="1">
      <c r="A40" s="122"/>
      <c r="B40" s="132"/>
      <c r="C40" s="133"/>
      <c r="D40" s="129"/>
      <c r="E40" s="129"/>
      <c r="F40" s="129"/>
      <c r="G40" s="129"/>
      <c r="H40" s="129"/>
      <c r="I40" s="130"/>
      <c r="J40" s="120"/>
    </row>
    <row r="41" spans="1:10" ht="15" customHeight="1">
      <c r="A41" s="122"/>
      <c r="B41" s="132"/>
      <c r="C41" s="133"/>
      <c r="D41" s="129"/>
      <c r="E41" s="129"/>
      <c r="F41" s="129"/>
      <c r="G41" s="129"/>
      <c r="H41" s="129"/>
      <c r="I41" s="130"/>
      <c r="J41" s="120"/>
    </row>
    <row r="42" spans="1:10" ht="15" customHeight="1">
      <c r="A42" s="122"/>
      <c r="B42" s="132"/>
      <c r="C42" s="133"/>
      <c r="D42" s="129"/>
      <c r="E42" s="129"/>
      <c r="F42" s="129"/>
      <c r="G42" s="129"/>
      <c r="H42" s="129"/>
      <c r="I42" s="130"/>
      <c r="J42" s="120"/>
    </row>
    <row r="43" spans="1:10" ht="15" customHeight="1">
      <c r="A43" s="122"/>
      <c r="B43" s="132"/>
      <c r="C43" s="133"/>
      <c r="D43" s="129"/>
      <c r="E43" s="129"/>
      <c r="F43" s="129"/>
      <c r="G43" s="129"/>
      <c r="H43" s="129"/>
      <c r="I43" s="130"/>
      <c r="J43" s="120"/>
    </row>
    <row r="44" spans="1:10" ht="15" customHeight="1">
      <c r="A44" s="122"/>
      <c r="B44" s="132"/>
      <c r="C44" s="133"/>
      <c r="D44" s="129"/>
      <c r="E44" s="129"/>
      <c r="F44" s="129"/>
      <c r="G44" s="129"/>
      <c r="H44" s="129"/>
      <c r="I44" s="130"/>
      <c r="J44" s="120"/>
    </row>
    <row r="45" spans="1:10" ht="15" customHeight="1">
      <c r="A45" s="122"/>
      <c r="B45" s="132"/>
      <c r="C45" s="133"/>
      <c r="D45" s="129"/>
      <c r="E45" s="129"/>
      <c r="F45" s="129"/>
      <c r="G45" s="129"/>
      <c r="H45" s="129"/>
      <c r="I45" s="130"/>
      <c r="J45" s="120"/>
    </row>
    <row r="46" spans="1:10" ht="15" customHeight="1">
      <c r="A46" s="122"/>
      <c r="B46" s="132"/>
      <c r="C46" s="133"/>
      <c r="D46" s="129"/>
      <c r="E46" s="129"/>
      <c r="F46" s="129"/>
      <c r="G46" s="129"/>
      <c r="H46" s="129"/>
      <c r="I46" s="130"/>
      <c r="J46" s="120"/>
    </row>
    <row r="47" spans="1:10" ht="15" customHeight="1">
      <c r="A47" s="122"/>
      <c r="B47" s="132"/>
      <c r="C47" s="133"/>
      <c r="D47" s="129"/>
      <c r="E47" s="129"/>
      <c r="F47" s="129"/>
      <c r="G47" s="129"/>
      <c r="H47" s="129"/>
      <c r="I47" s="130"/>
      <c r="J47" s="120"/>
    </row>
    <row r="48" spans="1:10" ht="15" customHeight="1">
      <c r="A48" s="122"/>
      <c r="B48" s="132"/>
      <c r="C48" s="133"/>
      <c r="D48" s="129"/>
      <c r="E48" s="129"/>
      <c r="F48" s="129"/>
      <c r="G48" s="129"/>
      <c r="H48" s="129"/>
      <c r="I48" s="130"/>
      <c r="J48" s="120"/>
    </row>
    <row r="49" spans="1:10" ht="15" customHeight="1">
      <c r="A49" s="122"/>
      <c r="B49" s="132"/>
      <c r="C49" s="133"/>
      <c r="D49" s="129"/>
      <c r="E49" s="129"/>
      <c r="F49" s="129"/>
      <c r="G49" s="129"/>
      <c r="H49" s="129"/>
      <c r="I49" s="130"/>
      <c r="J49" s="120"/>
    </row>
    <row r="50" spans="1:10" ht="15" customHeight="1">
      <c r="A50" s="122"/>
      <c r="B50" s="132"/>
      <c r="C50" s="133"/>
      <c r="D50" s="129"/>
      <c r="E50" s="129"/>
      <c r="F50" s="129"/>
      <c r="G50" s="129"/>
      <c r="H50" s="129"/>
      <c r="I50" s="130"/>
      <c r="J50" s="120"/>
    </row>
    <row r="51" spans="1:10" ht="15" customHeight="1">
      <c r="A51" s="122"/>
      <c r="B51" s="132"/>
      <c r="C51" s="133"/>
      <c r="D51" s="129"/>
      <c r="E51" s="129"/>
      <c r="F51" s="129"/>
      <c r="G51" s="129"/>
      <c r="H51" s="129"/>
      <c r="I51" s="130"/>
      <c r="J51" s="120"/>
    </row>
    <row r="52" spans="1:10" ht="15" customHeight="1" thickBot="1">
      <c r="A52" s="122"/>
      <c r="B52" s="132"/>
      <c r="C52" s="133"/>
      <c r="D52" s="129"/>
      <c r="E52" s="129"/>
      <c r="F52" s="129"/>
      <c r="G52" s="129"/>
      <c r="H52" s="129"/>
      <c r="I52" s="130"/>
      <c r="J52" s="120"/>
    </row>
    <row r="53" spans="1:10" ht="15" customHeight="1" thickBot="1">
      <c r="A53" s="122"/>
      <c r="B53" s="671" t="s">
        <v>1102</v>
      </c>
      <c r="C53" s="672"/>
      <c r="D53" s="138">
        <f aca="true" t="shared" si="1" ref="D53:I53">SUM(D28:D52)</f>
        <v>235896.28</v>
      </c>
      <c r="E53" s="138">
        <f t="shared" si="1"/>
        <v>632636.75</v>
      </c>
      <c r="F53" s="138">
        <f t="shared" si="1"/>
        <v>436670.35</v>
      </c>
      <c r="G53" s="138">
        <f t="shared" si="1"/>
        <v>1809597.94</v>
      </c>
      <c r="H53" s="138">
        <f t="shared" si="1"/>
        <v>1809597.94</v>
      </c>
      <c r="I53" s="139">
        <f t="shared" si="1"/>
        <v>1809597.94</v>
      </c>
      <c r="J53" s="120"/>
    </row>
    <row r="54" spans="1:10" ht="18" customHeight="1" thickBot="1">
      <c r="A54" s="120"/>
      <c r="B54" s="658" t="s">
        <v>106</v>
      </c>
      <c r="C54" s="659"/>
      <c r="D54" s="138">
        <f aca="true" t="shared" si="2" ref="D54:I54">D26+D53</f>
        <v>235896.28</v>
      </c>
      <c r="E54" s="138">
        <f t="shared" si="2"/>
        <v>632636.75</v>
      </c>
      <c r="F54" s="138">
        <f t="shared" si="2"/>
        <v>436670.35</v>
      </c>
      <c r="G54" s="138">
        <f t="shared" si="2"/>
        <v>1809597.94</v>
      </c>
      <c r="H54" s="138">
        <f t="shared" si="2"/>
        <v>1809597.94</v>
      </c>
      <c r="I54" s="139">
        <f t="shared" si="2"/>
        <v>1809597.94</v>
      </c>
      <c r="J54" s="120"/>
    </row>
  </sheetData>
  <sheetProtection password="DEF0" sheet="1" objects="1" scenarios="1"/>
  <mergeCells count="18">
    <mergeCell ref="B2:C3"/>
    <mergeCell ref="I7:I9"/>
    <mergeCell ref="H2:H3"/>
    <mergeCell ref="G2:G3"/>
    <mergeCell ref="G8:G9"/>
    <mergeCell ref="D2:E3"/>
    <mergeCell ref="F8:F9"/>
    <mergeCell ref="F2:F3"/>
    <mergeCell ref="C5:J5"/>
    <mergeCell ref="I2:I3"/>
    <mergeCell ref="B54:C54"/>
    <mergeCell ref="B6:I6"/>
    <mergeCell ref="B7:C9"/>
    <mergeCell ref="H7:H9"/>
    <mergeCell ref="B53:C53"/>
    <mergeCell ref="D8:D9"/>
    <mergeCell ref="E8:E9"/>
    <mergeCell ref="B26:C26"/>
  </mergeCells>
  <printOptions/>
  <pageMargins left="0.7086614173228347" right="0.1968503937007874" top="0.5905511811023623" bottom="0.2755905511811024" header="0.2755905511811024" footer="0.11811023622047245"/>
  <pageSetup horizontalDpi="180" verticalDpi="180" orientation="landscape" paperSize="9" scale="65" r:id="rId3"/>
  <headerFooter alignWithMargins="0">
    <oddHeader>&amp;R
</oddHeader>
  </headerFooter>
  <legacyDrawing r:id="rId2"/>
</worksheet>
</file>

<file path=xl/worksheets/sheet11.xml><?xml version="1.0" encoding="utf-8"?>
<worksheet xmlns="http://schemas.openxmlformats.org/spreadsheetml/2006/main" xmlns:r="http://schemas.openxmlformats.org/officeDocument/2006/relationships">
  <sheetPr codeName="Plan5"/>
  <dimension ref="B2:J60"/>
  <sheetViews>
    <sheetView showGridLines="0" showRowColHeaders="0" zoomScale="88" zoomScaleNormal="88" zoomScalePageLayoutView="0" workbookViewId="0" topLeftCell="A1">
      <selection activeCell="H47" sqref="H47"/>
    </sheetView>
  </sheetViews>
  <sheetFormatPr defaultColWidth="0" defaultRowHeight="12.75"/>
  <cols>
    <col min="1" max="1" width="2.421875" style="58" customWidth="1"/>
    <col min="2" max="2" width="12.7109375" style="58" customWidth="1"/>
    <col min="3" max="3" width="44.7109375" style="58" customWidth="1"/>
    <col min="4" max="9" width="23.7109375" style="58" customWidth="1"/>
    <col min="10" max="10" width="3.140625" style="58" customWidth="1"/>
    <col min="11" max="16384" width="0" style="58" hidden="1" customWidth="1"/>
  </cols>
  <sheetData>
    <row r="1" ht="7.5" customHeight="1"/>
    <row r="2" spans="2:9" ht="12.75" customHeight="1">
      <c r="B2" s="690" t="s">
        <v>1224</v>
      </c>
      <c r="C2" s="691"/>
      <c r="D2" s="687" t="str">
        <f>COMANDOBLOQUEADO!S19</f>
        <v>CESÁRIO LANGE</v>
      </c>
      <c r="E2" s="684"/>
      <c r="F2" s="688" t="s">
        <v>268</v>
      </c>
      <c r="G2" s="687" t="str">
        <f>COMANDOBLOQUEADO!U6</f>
        <v>4º TRIMESTRE</v>
      </c>
      <c r="H2" s="687" t="str">
        <f>COMANDOBLOQUEADO!Y6</f>
        <v>2009</v>
      </c>
      <c r="I2" s="687"/>
    </row>
    <row r="3" spans="2:9" ht="12.75" customHeight="1">
      <c r="B3" s="690"/>
      <c r="C3" s="691"/>
      <c r="D3" s="684"/>
      <c r="E3" s="684"/>
      <c r="F3" s="688"/>
      <c r="G3" s="687"/>
      <c r="H3" s="687"/>
      <c r="I3" s="687"/>
    </row>
    <row r="4" spans="2:10" ht="7.5" customHeight="1">
      <c r="B4" s="155"/>
      <c r="C4" s="143"/>
      <c r="D4" s="143"/>
      <c r="E4" s="143"/>
      <c r="F4" s="143"/>
      <c r="G4" s="143"/>
      <c r="H4" s="143"/>
      <c r="I4" s="143"/>
      <c r="J4" s="143"/>
    </row>
    <row r="5" spans="2:10" ht="21" customHeight="1">
      <c r="B5" s="155"/>
      <c r="C5" s="660" t="s">
        <v>1115</v>
      </c>
      <c r="D5" s="689"/>
      <c r="E5" s="689"/>
      <c r="F5" s="689"/>
      <c r="G5" s="689"/>
      <c r="H5" s="689"/>
      <c r="I5" s="689"/>
      <c r="J5" s="689"/>
    </row>
    <row r="6" spans="2:10" ht="7.5" customHeight="1" thickBot="1">
      <c r="B6" s="660"/>
      <c r="C6" s="689"/>
      <c r="D6" s="689"/>
      <c r="E6" s="689"/>
      <c r="F6" s="689"/>
      <c r="G6" s="689"/>
      <c r="H6" s="689"/>
      <c r="I6" s="689"/>
      <c r="J6" s="143"/>
    </row>
    <row r="7" spans="2:10" ht="15" customHeight="1">
      <c r="B7" s="662" t="s">
        <v>1115</v>
      </c>
      <c r="C7" s="663"/>
      <c r="D7" s="123" t="s">
        <v>294</v>
      </c>
      <c r="E7" s="123" t="s">
        <v>295</v>
      </c>
      <c r="F7" s="123" t="s">
        <v>296</v>
      </c>
      <c r="G7" s="123" t="s">
        <v>297</v>
      </c>
      <c r="H7" s="668" t="s">
        <v>1188</v>
      </c>
      <c r="I7" s="679" t="s">
        <v>1189</v>
      </c>
      <c r="J7" s="143"/>
    </row>
    <row r="8" spans="2:10" ht="15" customHeight="1">
      <c r="B8" s="664"/>
      <c r="C8" s="665"/>
      <c r="D8" s="673" t="s">
        <v>1190</v>
      </c>
      <c r="E8" s="675" t="s">
        <v>1111</v>
      </c>
      <c r="F8" s="675" t="s">
        <v>1111</v>
      </c>
      <c r="G8" s="675" t="s">
        <v>1111</v>
      </c>
      <c r="H8" s="669"/>
      <c r="I8" s="680"/>
      <c r="J8" s="143"/>
    </row>
    <row r="9" spans="2:10" ht="15" customHeight="1" thickBot="1">
      <c r="B9" s="666"/>
      <c r="C9" s="667"/>
      <c r="D9" s="669"/>
      <c r="E9" s="692"/>
      <c r="F9" s="692"/>
      <c r="G9" s="692"/>
      <c r="H9" s="686"/>
      <c r="I9" s="681"/>
      <c r="J9" s="143"/>
    </row>
    <row r="10" spans="2:10" ht="13.5" customHeight="1" thickBot="1">
      <c r="B10" s="124" t="s">
        <v>1176</v>
      </c>
      <c r="C10" s="173" t="s">
        <v>1186</v>
      </c>
      <c r="D10" s="126" t="s">
        <v>192</v>
      </c>
      <c r="E10" s="126" t="s">
        <v>192</v>
      </c>
      <c r="F10" s="126" t="s">
        <v>192</v>
      </c>
      <c r="G10" s="126" t="s">
        <v>192</v>
      </c>
      <c r="H10" s="126" t="s">
        <v>192</v>
      </c>
      <c r="I10" s="150" t="s">
        <v>192</v>
      </c>
      <c r="J10" s="143"/>
    </row>
    <row r="11" spans="2:10" ht="13.5" customHeight="1">
      <c r="B11" s="128" t="s">
        <v>1172</v>
      </c>
      <c r="C11" s="67" t="s">
        <v>1162</v>
      </c>
      <c r="D11" s="129">
        <v>0</v>
      </c>
      <c r="E11" s="129">
        <v>0</v>
      </c>
      <c r="F11" s="129">
        <v>0</v>
      </c>
      <c r="G11" s="129">
        <v>0</v>
      </c>
      <c r="H11" s="129"/>
      <c r="I11" s="130"/>
      <c r="J11" s="143"/>
    </row>
    <row r="12" spans="2:10" ht="13.5" customHeight="1">
      <c r="B12" s="131" t="s">
        <v>1173</v>
      </c>
      <c r="C12" s="67" t="s">
        <v>1163</v>
      </c>
      <c r="D12" s="129">
        <v>0</v>
      </c>
      <c r="E12" s="129">
        <v>0</v>
      </c>
      <c r="F12" s="129">
        <v>0</v>
      </c>
      <c r="G12" s="129">
        <v>0</v>
      </c>
      <c r="H12" s="129"/>
      <c r="I12" s="130"/>
      <c r="J12" s="143"/>
    </row>
    <row r="13" spans="2:10" ht="13.5" customHeight="1">
      <c r="B13" s="131" t="s">
        <v>1164</v>
      </c>
      <c r="C13" s="67" t="s">
        <v>1165</v>
      </c>
      <c r="D13" s="129">
        <v>56265.59</v>
      </c>
      <c r="E13" s="129">
        <v>110230.25</v>
      </c>
      <c r="F13" s="129">
        <v>179559.4</v>
      </c>
      <c r="G13" s="129">
        <v>266043</v>
      </c>
      <c r="H13" s="129">
        <v>266043</v>
      </c>
      <c r="I13" s="130">
        <v>266043</v>
      </c>
      <c r="J13" s="143"/>
    </row>
    <row r="14" spans="2:10" ht="13.5" customHeight="1">
      <c r="B14" s="131" t="s">
        <v>1166</v>
      </c>
      <c r="C14" s="67" t="s">
        <v>1167</v>
      </c>
      <c r="D14" s="129">
        <v>16341.27</v>
      </c>
      <c r="E14" s="129">
        <v>31742.94</v>
      </c>
      <c r="F14" s="129">
        <f>43758.14+5252.53</f>
        <v>49010.67</v>
      </c>
      <c r="G14" s="129">
        <v>75259.43</v>
      </c>
      <c r="H14" s="129">
        <v>75259.43</v>
      </c>
      <c r="I14" s="130">
        <v>75259.43</v>
      </c>
      <c r="J14" s="143"/>
    </row>
    <row r="15" spans="2:10" ht="13.5" customHeight="1">
      <c r="B15" s="131" t="s">
        <v>1168</v>
      </c>
      <c r="C15" s="67" t="s">
        <v>1242</v>
      </c>
      <c r="D15" s="129">
        <v>0</v>
      </c>
      <c r="E15" s="129">
        <v>0</v>
      </c>
      <c r="F15" s="129">
        <v>0</v>
      </c>
      <c r="G15" s="129">
        <f>F15</f>
        <v>0</v>
      </c>
      <c r="H15" s="129">
        <v>0</v>
      </c>
      <c r="I15" s="130">
        <v>0</v>
      </c>
      <c r="J15" s="143"/>
    </row>
    <row r="16" spans="2:10" ht="13.5" customHeight="1">
      <c r="B16" s="131" t="s">
        <v>1174</v>
      </c>
      <c r="C16" s="67" t="s">
        <v>1175</v>
      </c>
      <c r="D16" s="129">
        <v>30787.71</v>
      </c>
      <c r="E16" s="129">
        <v>54011.84</v>
      </c>
      <c r="F16" s="129">
        <v>40212.34</v>
      </c>
      <c r="G16" s="129">
        <v>96942.2</v>
      </c>
      <c r="H16" s="129">
        <v>96942.2</v>
      </c>
      <c r="I16" s="130">
        <v>96942.2</v>
      </c>
      <c r="J16" s="143"/>
    </row>
    <row r="17" spans="2:10" ht="13.5" customHeight="1">
      <c r="B17" s="131" t="s">
        <v>1177</v>
      </c>
      <c r="C17" s="67" t="s">
        <v>1178</v>
      </c>
      <c r="D17" s="129">
        <v>2830.5</v>
      </c>
      <c r="E17" s="129">
        <v>6690.5</v>
      </c>
      <c r="F17" s="129">
        <v>7140.5</v>
      </c>
      <c r="G17" s="129">
        <v>7370.5</v>
      </c>
      <c r="H17" s="129">
        <v>7370.5</v>
      </c>
      <c r="I17" s="130">
        <v>7370.5</v>
      </c>
      <c r="J17" s="143"/>
    </row>
    <row r="18" spans="2:10" ht="13.5" customHeight="1">
      <c r="B18" s="131" t="s">
        <v>1180</v>
      </c>
      <c r="C18" s="67" t="s">
        <v>1179</v>
      </c>
      <c r="D18" s="129">
        <v>6312.52</v>
      </c>
      <c r="E18" s="129">
        <v>14248.94</v>
      </c>
      <c r="F18" s="129">
        <v>21776.03</v>
      </c>
      <c r="G18" s="129">
        <v>44800.97</v>
      </c>
      <c r="H18" s="129">
        <v>44800.97</v>
      </c>
      <c r="I18" s="130">
        <v>44800.97</v>
      </c>
      <c r="J18" s="143"/>
    </row>
    <row r="19" spans="2:10" ht="13.5" customHeight="1">
      <c r="B19" s="131" t="s">
        <v>486</v>
      </c>
      <c r="C19" s="67" t="s">
        <v>1181</v>
      </c>
      <c r="D19" s="129">
        <v>0</v>
      </c>
      <c r="E19" s="129">
        <v>0</v>
      </c>
      <c r="F19" s="129">
        <v>0</v>
      </c>
      <c r="G19" s="129">
        <v>66862.97</v>
      </c>
      <c r="H19" s="129">
        <v>66862.97</v>
      </c>
      <c r="I19" s="130">
        <v>66862.97</v>
      </c>
      <c r="J19" s="143"/>
    </row>
    <row r="20" spans="2:10" ht="13.5" customHeight="1">
      <c r="B20" s="131" t="s">
        <v>487</v>
      </c>
      <c r="C20" s="67" t="s">
        <v>1182</v>
      </c>
      <c r="D20" s="129">
        <v>5439</v>
      </c>
      <c r="E20" s="129">
        <v>9131.14</v>
      </c>
      <c r="F20" s="129">
        <f>13990.14+380</f>
        <v>14370.14</v>
      </c>
      <c r="G20" s="129">
        <v>21104.14</v>
      </c>
      <c r="H20" s="129">
        <v>21104.14</v>
      </c>
      <c r="I20" s="130">
        <v>21104.14</v>
      </c>
      <c r="J20" s="143"/>
    </row>
    <row r="21" spans="2:10" ht="13.5" customHeight="1">
      <c r="B21" s="132" t="s">
        <v>927</v>
      </c>
      <c r="C21" s="133" t="s">
        <v>926</v>
      </c>
      <c r="D21" s="129">
        <v>13448.82</v>
      </c>
      <c r="E21" s="129">
        <v>22427.87</v>
      </c>
      <c r="F21" s="129">
        <v>31406.82</v>
      </c>
      <c r="G21" s="129">
        <v>40385.82</v>
      </c>
      <c r="H21" s="129">
        <v>40385.82</v>
      </c>
      <c r="I21" s="130">
        <v>40385.82</v>
      </c>
      <c r="J21" s="143"/>
    </row>
    <row r="22" spans="2:10" ht="13.5" customHeight="1">
      <c r="B22" s="132"/>
      <c r="C22" s="133"/>
      <c r="D22" s="129"/>
      <c r="E22" s="129"/>
      <c r="F22" s="129"/>
      <c r="G22" s="129"/>
      <c r="H22" s="129"/>
      <c r="I22" s="130"/>
      <c r="J22" s="143"/>
    </row>
    <row r="23" spans="2:10" ht="13.5" customHeight="1">
      <c r="B23" s="132"/>
      <c r="C23" s="133"/>
      <c r="D23" s="129"/>
      <c r="E23" s="129"/>
      <c r="F23" s="129"/>
      <c r="G23" s="129"/>
      <c r="H23" s="129"/>
      <c r="I23" s="130"/>
      <c r="J23" s="143"/>
    </row>
    <row r="24" spans="2:10" ht="13.5" customHeight="1">
      <c r="B24" s="132"/>
      <c r="C24" s="133"/>
      <c r="D24" s="129"/>
      <c r="E24" s="129"/>
      <c r="F24" s="129"/>
      <c r="G24" s="129"/>
      <c r="H24" s="129"/>
      <c r="I24" s="130"/>
      <c r="J24" s="143"/>
    </row>
    <row r="25" spans="2:10" ht="13.5" customHeight="1">
      <c r="B25" s="132"/>
      <c r="C25" s="133"/>
      <c r="D25" s="129"/>
      <c r="E25" s="129"/>
      <c r="F25" s="129"/>
      <c r="G25" s="129"/>
      <c r="H25" s="129"/>
      <c r="I25" s="130"/>
      <c r="J25" s="143"/>
    </row>
    <row r="26" spans="2:10" ht="13.5" customHeight="1" thickBot="1">
      <c r="B26" s="149"/>
      <c r="C26" s="133"/>
      <c r="D26" s="160"/>
      <c r="E26" s="160"/>
      <c r="F26" s="160"/>
      <c r="G26" s="160"/>
      <c r="H26" s="129"/>
      <c r="I26" s="130"/>
      <c r="J26" s="143"/>
    </row>
    <row r="27" spans="2:10" ht="13.5" customHeight="1" thickBot="1">
      <c r="B27" s="137"/>
      <c r="C27" s="125" t="s">
        <v>1102</v>
      </c>
      <c r="D27" s="138">
        <f aca="true" t="shared" si="0" ref="D27:I27">SUM(D11:D26)</f>
        <v>131425.41</v>
      </c>
      <c r="E27" s="138">
        <f t="shared" si="0"/>
        <v>248483.47999999998</v>
      </c>
      <c r="F27" s="138">
        <f t="shared" si="0"/>
        <v>343475.9000000001</v>
      </c>
      <c r="G27" s="138">
        <f t="shared" si="0"/>
        <v>618769.0299999999</v>
      </c>
      <c r="H27" s="138">
        <f t="shared" si="0"/>
        <v>618769.0299999999</v>
      </c>
      <c r="I27" s="139">
        <f t="shared" si="0"/>
        <v>618769.0299999999</v>
      </c>
      <c r="J27" s="143"/>
    </row>
    <row r="28" spans="2:10" ht="13.5" customHeight="1" thickBot="1">
      <c r="B28" s="144" t="s">
        <v>1176</v>
      </c>
      <c r="C28" s="134" t="s">
        <v>1184</v>
      </c>
      <c r="D28" s="126" t="s">
        <v>192</v>
      </c>
      <c r="E28" s="126" t="s">
        <v>192</v>
      </c>
      <c r="F28" s="126" t="s">
        <v>192</v>
      </c>
      <c r="G28" s="126" t="s">
        <v>192</v>
      </c>
      <c r="H28" s="126" t="s">
        <v>192</v>
      </c>
      <c r="I28" s="127" t="s">
        <v>192</v>
      </c>
      <c r="J28" s="143"/>
    </row>
    <row r="29" spans="2:10" ht="13.5" customHeight="1">
      <c r="B29" s="131" t="s">
        <v>1173</v>
      </c>
      <c r="C29" s="67" t="s">
        <v>1163</v>
      </c>
      <c r="D29" s="129">
        <v>0</v>
      </c>
      <c r="E29" s="129">
        <v>0</v>
      </c>
      <c r="F29" s="129">
        <v>0</v>
      </c>
      <c r="G29" s="129">
        <v>0</v>
      </c>
      <c r="H29" s="129">
        <v>0</v>
      </c>
      <c r="I29" s="130">
        <v>0</v>
      </c>
      <c r="J29" s="143"/>
    </row>
    <row r="30" spans="2:10" ht="13.5" customHeight="1">
      <c r="B30" s="131" t="s">
        <v>1164</v>
      </c>
      <c r="C30" s="67" t="s">
        <v>1165</v>
      </c>
      <c r="D30" s="129">
        <v>0</v>
      </c>
      <c r="E30" s="129">
        <v>0</v>
      </c>
      <c r="F30" s="129">
        <v>0</v>
      </c>
      <c r="G30" s="129">
        <v>0</v>
      </c>
      <c r="H30" s="129">
        <v>0</v>
      </c>
      <c r="I30" s="130">
        <v>0</v>
      </c>
      <c r="J30" s="143"/>
    </row>
    <row r="31" spans="2:10" ht="13.5" customHeight="1">
      <c r="B31" s="131" t="s">
        <v>1166</v>
      </c>
      <c r="C31" s="67" t="s">
        <v>1167</v>
      </c>
      <c r="D31" s="129">
        <v>0</v>
      </c>
      <c r="E31" s="129">
        <v>0</v>
      </c>
      <c r="F31" s="129">
        <v>0</v>
      </c>
      <c r="G31" s="129">
        <v>0</v>
      </c>
      <c r="H31" s="129">
        <v>0</v>
      </c>
      <c r="I31" s="130">
        <v>0</v>
      </c>
      <c r="J31" s="143"/>
    </row>
    <row r="32" spans="2:10" ht="13.5" customHeight="1">
      <c r="B32" s="131" t="s">
        <v>1168</v>
      </c>
      <c r="C32" s="67" t="s">
        <v>1242</v>
      </c>
      <c r="D32" s="129">
        <v>0</v>
      </c>
      <c r="E32" s="129">
        <v>0</v>
      </c>
      <c r="F32" s="129">
        <v>0</v>
      </c>
      <c r="G32" s="129">
        <v>0</v>
      </c>
      <c r="H32" s="129">
        <v>0</v>
      </c>
      <c r="I32" s="130">
        <v>0</v>
      </c>
      <c r="J32" s="143"/>
    </row>
    <row r="33" spans="2:10" ht="13.5" customHeight="1">
      <c r="B33" s="131" t="s">
        <v>1174</v>
      </c>
      <c r="C33" s="67" t="s">
        <v>1175</v>
      </c>
      <c r="D33" s="129">
        <v>0</v>
      </c>
      <c r="E33" s="129">
        <v>0</v>
      </c>
      <c r="F33" s="129">
        <v>0</v>
      </c>
      <c r="G33" s="129">
        <v>0</v>
      </c>
      <c r="H33" s="129">
        <v>0</v>
      </c>
      <c r="I33" s="130">
        <v>0</v>
      </c>
      <c r="J33" s="143"/>
    </row>
    <row r="34" spans="2:10" ht="13.5" customHeight="1">
      <c r="B34" s="131" t="s">
        <v>1177</v>
      </c>
      <c r="C34" s="67" t="s">
        <v>1178</v>
      </c>
      <c r="D34" s="129">
        <v>0</v>
      </c>
      <c r="E34" s="129">
        <v>0</v>
      </c>
      <c r="F34" s="129">
        <v>0</v>
      </c>
      <c r="G34" s="129">
        <v>0</v>
      </c>
      <c r="H34" s="129">
        <v>0</v>
      </c>
      <c r="I34" s="130">
        <v>0</v>
      </c>
      <c r="J34" s="143"/>
    </row>
    <row r="35" spans="2:10" ht="13.5" customHeight="1">
      <c r="B35" s="131" t="s">
        <v>1180</v>
      </c>
      <c r="C35" s="67" t="s">
        <v>1179</v>
      </c>
      <c r="D35" s="129">
        <v>0</v>
      </c>
      <c r="E35" s="129">
        <v>0</v>
      </c>
      <c r="F35" s="129">
        <v>0</v>
      </c>
      <c r="G35" s="129">
        <v>0</v>
      </c>
      <c r="H35" s="129">
        <v>0</v>
      </c>
      <c r="I35" s="130">
        <v>0</v>
      </c>
      <c r="J35" s="143"/>
    </row>
    <row r="36" spans="2:10" ht="13.5" customHeight="1">
      <c r="B36" s="131" t="s">
        <v>486</v>
      </c>
      <c r="C36" s="67" t="s">
        <v>1181</v>
      </c>
      <c r="D36" s="129">
        <v>0</v>
      </c>
      <c r="E36" s="129">
        <v>0</v>
      </c>
      <c r="F36" s="129">
        <v>0</v>
      </c>
      <c r="G36" s="129">
        <v>0</v>
      </c>
      <c r="H36" s="129">
        <v>0</v>
      </c>
      <c r="I36" s="130">
        <v>0</v>
      </c>
      <c r="J36" s="143"/>
    </row>
    <row r="37" spans="2:10" ht="13.5" customHeight="1">
      <c r="B37" s="131" t="s">
        <v>487</v>
      </c>
      <c r="C37" s="67" t="s">
        <v>1182</v>
      </c>
      <c r="D37" s="129">
        <v>0</v>
      </c>
      <c r="E37" s="129">
        <v>0</v>
      </c>
      <c r="F37" s="129">
        <v>0</v>
      </c>
      <c r="G37" s="129">
        <v>0</v>
      </c>
      <c r="H37" s="129">
        <v>0</v>
      </c>
      <c r="I37" s="130">
        <v>0</v>
      </c>
      <c r="J37" s="143"/>
    </row>
    <row r="38" spans="2:10" ht="13.5" customHeight="1">
      <c r="B38" s="132"/>
      <c r="C38" s="133"/>
      <c r="D38" s="129"/>
      <c r="E38" s="129"/>
      <c r="F38" s="129"/>
      <c r="G38" s="129"/>
      <c r="H38" s="129"/>
      <c r="I38" s="130"/>
      <c r="J38" s="143"/>
    </row>
    <row r="39" spans="2:10" ht="13.5" customHeight="1">
      <c r="B39" s="132"/>
      <c r="C39" s="133"/>
      <c r="D39" s="129"/>
      <c r="E39" s="129"/>
      <c r="F39" s="129"/>
      <c r="G39" s="129"/>
      <c r="H39" s="129"/>
      <c r="I39" s="130"/>
      <c r="J39" s="143"/>
    </row>
    <row r="40" spans="2:10" ht="13.5" customHeight="1">
      <c r="B40" s="132"/>
      <c r="C40" s="133"/>
      <c r="D40" s="129"/>
      <c r="E40" s="129"/>
      <c r="F40" s="129"/>
      <c r="G40" s="129"/>
      <c r="H40" s="129"/>
      <c r="I40" s="130"/>
      <c r="J40" s="143"/>
    </row>
    <row r="41" spans="2:10" ht="13.5" customHeight="1" thickBot="1">
      <c r="B41" s="149"/>
      <c r="C41" s="133"/>
      <c r="D41" s="129"/>
      <c r="E41" s="129"/>
      <c r="F41" s="129"/>
      <c r="G41" s="129"/>
      <c r="H41" s="129"/>
      <c r="I41" s="130"/>
      <c r="J41" s="143"/>
    </row>
    <row r="42" spans="2:10" ht="13.5" customHeight="1" thickBot="1">
      <c r="B42" s="137"/>
      <c r="C42" s="125" t="s">
        <v>1102</v>
      </c>
      <c r="D42" s="138">
        <f aca="true" t="shared" si="1" ref="D42:I42">SUM(D29:D41)</f>
        <v>0</v>
      </c>
      <c r="E42" s="138">
        <f t="shared" si="1"/>
        <v>0</v>
      </c>
      <c r="F42" s="138">
        <f t="shared" si="1"/>
        <v>0</v>
      </c>
      <c r="G42" s="138">
        <f t="shared" si="1"/>
        <v>0</v>
      </c>
      <c r="H42" s="138">
        <f t="shared" si="1"/>
        <v>0</v>
      </c>
      <c r="I42" s="139">
        <f t="shared" si="1"/>
        <v>0</v>
      </c>
      <c r="J42" s="143"/>
    </row>
    <row r="43" spans="2:10" ht="13.5" customHeight="1" thickBot="1">
      <c r="B43" s="124" t="s">
        <v>1176</v>
      </c>
      <c r="C43" s="125" t="s">
        <v>1187</v>
      </c>
      <c r="D43" s="126" t="s">
        <v>192</v>
      </c>
      <c r="E43" s="126" t="s">
        <v>192</v>
      </c>
      <c r="F43" s="126" t="s">
        <v>192</v>
      </c>
      <c r="G43" s="126" t="s">
        <v>192</v>
      </c>
      <c r="H43" s="126" t="s">
        <v>192</v>
      </c>
      <c r="I43" s="127" t="s">
        <v>192</v>
      </c>
      <c r="J43" s="143"/>
    </row>
    <row r="44" spans="2:10" ht="13.5" customHeight="1">
      <c r="B44" s="131" t="s">
        <v>1173</v>
      </c>
      <c r="C44" s="67" t="s">
        <v>1163</v>
      </c>
      <c r="D44" s="129">
        <v>0</v>
      </c>
      <c r="E44" s="129">
        <v>0</v>
      </c>
      <c r="F44" s="129">
        <v>0</v>
      </c>
      <c r="G44" s="129">
        <v>0</v>
      </c>
      <c r="H44" s="129">
        <v>0</v>
      </c>
      <c r="I44" s="130">
        <v>0</v>
      </c>
      <c r="J44" s="143"/>
    </row>
    <row r="45" spans="2:10" ht="13.5" customHeight="1">
      <c r="B45" s="131" t="s">
        <v>1164</v>
      </c>
      <c r="C45" s="67" t="s">
        <v>1165</v>
      </c>
      <c r="D45" s="129">
        <v>0</v>
      </c>
      <c r="E45" s="129">
        <v>0</v>
      </c>
      <c r="F45" s="129">
        <v>0</v>
      </c>
      <c r="G45" s="129">
        <v>0</v>
      </c>
      <c r="H45" s="129">
        <v>0</v>
      </c>
      <c r="I45" s="130">
        <v>0</v>
      </c>
      <c r="J45" s="143"/>
    </row>
    <row r="46" spans="2:10" ht="13.5" customHeight="1">
      <c r="B46" s="131" t="s">
        <v>1166</v>
      </c>
      <c r="C46" s="67" t="s">
        <v>1167</v>
      </c>
      <c r="D46" s="129">
        <v>0</v>
      </c>
      <c r="E46" s="129">
        <v>0</v>
      </c>
      <c r="F46" s="129">
        <v>0</v>
      </c>
      <c r="G46" s="129">
        <v>0</v>
      </c>
      <c r="H46" s="129">
        <v>0</v>
      </c>
      <c r="I46" s="130">
        <v>0</v>
      </c>
      <c r="J46" s="143"/>
    </row>
    <row r="47" spans="2:10" ht="13.5" customHeight="1">
      <c r="B47" s="131" t="s">
        <v>1168</v>
      </c>
      <c r="C47" s="67" t="s">
        <v>1242</v>
      </c>
      <c r="D47" s="129">
        <v>0</v>
      </c>
      <c r="E47" s="129">
        <v>0</v>
      </c>
      <c r="F47" s="129">
        <v>0</v>
      </c>
      <c r="G47" s="129">
        <v>0</v>
      </c>
      <c r="H47" s="129">
        <v>0</v>
      </c>
      <c r="I47" s="130">
        <v>0</v>
      </c>
      <c r="J47" s="143"/>
    </row>
    <row r="48" spans="2:10" ht="13.5" customHeight="1">
      <c r="B48" s="131" t="s">
        <v>1174</v>
      </c>
      <c r="C48" s="67" t="s">
        <v>1175</v>
      </c>
      <c r="D48" s="129">
        <v>0</v>
      </c>
      <c r="E48" s="129">
        <v>0</v>
      </c>
      <c r="F48" s="129">
        <v>0</v>
      </c>
      <c r="G48" s="129">
        <v>0</v>
      </c>
      <c r="H48" s="129">
        <v>0</v>
      </c>
      <c r="I48" s="130">
        <v>0</v>
      </c>
      <c r="J48" s="143"/>
    </row>
    <row r="49" spans="2:10" ht="13.5" customHeight="1">
      <c r="B49" s="131" t="s">
        <v>1177</v>
      </c>
      <c r="C49" s="67" t="s">
        <v>1178</v>
      </c>
      <c r="D49" s="129">
        <v>0</v>
      </c>
      <c r="E49" s="129">
        <v>0</v>
      </c>
      <c r="F49" s="129">
        <v>0</v>
      </c>
      <c r="G49" s="129">
        <v>0</v>
      </c>
      <c r="H49" s="129">
        <v>0</v>
      </c>
      <c r="I49" s="130">
        <v>0</v>
      </c>
      <c r="J49" s="143"/>
    </row>
    <row r="50" spans="2:10" ht="13.5" customHeight="1">
      <c r="B50" s="131" t="s">
        <v>1180</v>
      </c>
      <c r="C50" s="67" t="s">
        <v>1179</v>
      </c>
      <c r="D50" s="129">
        <v>0</v>
      </c>
      <c r="E50" s="129">
        <v>0</v>
      </c>
      <c r="F50" s="129">
        <v>0</v>
      </c>
      <c r="G50" s="129">
        <v>0</v>
      </c>
      <c r="H50" s="129">
        <v>0</v>
      </c>
      <c r="I50" s="130">
        <v>0</v>
      </c>
      <c r="J50" s="143"/>
    </row>
    <row r="51" spans="2:10" ht="13.5" customHeight="1">
      <c r="B51" s="131" t="s">
        <v>486</v>
      </c>
      <c r="C51" s="67" t="s">
        <v>1181</v>
      </c>
      <c r="D51" s="129">
        <v>0</v>
      </c>
      <c r="E51" s="129">
        <v>0</v>
      </c>
      <c r="F51" s="129">
        <v>0</v>
      </c>
      <c r="G51" s="129">
        <v>0</v>
      </c>
      <c r="H51" s="129">
        <v>0</v>
      </c>
      <c r="I51" s="130">
        <v>0</v>
      </c>
      <c r="J51" s="143"/>
    </row>
    <row r="52" spans="2:10" ht="13.5" customHeight="1">
      <c r="B52" s="131" t="s">
        <v>487</v>
      </c>
      <c r="C52" s="67" t="s">
        <v>1182</v>
      </c>
      <c r="D52" s="129">
        <v>0</v>
      </c>
      <c r="E52" s="129">
        <v>0</v>
      </c>
      <c r="F52" s="129">
        <v>0</v>
      </c>
      <c r="G52" s="129">
        <v>0</v>
      </c>
      <c r="H52" s="129">
        <v>0</v>
      </c>
      <c r="I52" s="130">
        <v>0</v>
      </c>
      <c r="J52" s="143"/>
    </row>
    <row r="53" spans="2:10" ht="13.5" customHeight="1">
      <c r="B53" s="132"/>
      <c r="C53" s="133"/>
      <c r="D53" s="129"/>
      <c r="E53" s="129"/>
      <c r="F53" s="129"/>
      <c r="G53" s="129"/>
      <c r="H53" s="129"/>
      <c r="I53" s="130"/>
      <c r="J53" s="143"/>
    </row>
    <row r="54" spans="2:10" ht="13.5" customHeight="1">
      <c r="B54" s="132"/>
      <c r="C54" s="133"/>
      <c r="D54" s="129"/>
      <c r="E54" s="129"/>
      <c r="F54" s="129"/>
      <c r="G54" s="129"/>
      <c r="H54" s="129"/>
      <c r="I54" s="130"/>
      <c r="J54" s="143"/>
    </row>
    <row r="55" spans="2:10" ht="13.5" customHeight="1">
      <c r="B55" s="149"/>
      <c r="C55" s="133"/>
      <c r="D55" s="129"/>
      <c r="E55" s="129"/>
      <c r="F55" s="129"/>
      <c r="G55" s="129"/>
      <c r="H55" s="129"/>
      <c r="I55" s="130"/>
      <c r="J55" s="143"/>
    </row>
    <row r="56" spans="2:10" ht="13.5" customHeight="1" thickBot="1">
      <c r="B56" s="149"/>
      <c r="C56" s="146"/>
      <c r="D56" s="129"/>
      <c r="E56" s="129"/>
      <c r="F56" s="129"/>
      <c r="G56" s="129"/>
      <c r="H56" s="129"/>
      <c r="I56" s="130"/>
      <c r="J56" s="143"/>
    </row>
    <row r="57" spans="2:10" ht="13.5" customHeight="1" thickBot="1">
      <c r="B57" s="151"/>
      <c r="C57" s="152" t="s">
        <v>1102</v>
      </c>
      <c r="D57" s="136">
        <f aca="true" t="shared" si="2" ref="D57:I57">SUM(D44:D56)</f>
        <v>0</v>
      </c>
      <c r="E57" s="136">
        <f t="shared" si="2"/>
        <v>0</v>
      </c>
      <c r="F57" s="136">
        <f t="shared" si="2"/>
        <v>0</v>
      </c>
      <c r="G57" s="136">
        <f t="shared" si="2"/>
        <v>0</v>
      </c>
      <c r="H57" s="136">
        <f t="shared" si="2"/>
        <v>0</v>
      </c>
      <c r="I57" s="193">
        <f t="shared" si="2"/>
        <v>0</v>
      </c>
      <c r="J57" s="143"/>
    </row>
    <row r="58" spans="2:10" ht="21.75" customHeight="1" thickBot="1">
      <c r="B58" s="658" t="s">
        <v>1117</v>
      </c>
      <c r="C58" s="659"/>
      <c r="D58" s="141">
        <f aca="true" t="shared" si="3" ref="D58:I58">D27+D42+D57</f>
        <v>131425.41</v>
      </c>
      <c r="E58" s="141">
        <f t="shared" si="3"/>
        <v>248483.47999999998</v>
      </c>
      <c r="F58" s="141">
        <f t="shared" si="3"/>
        <v>343475.9000000001</v>
      </c>
      <c r="G58" s="141">
        <f t="shared" si="3"/>
        <v>618769.0299999999</v>
      </c>
      <c r="H58" s="141">
        <f t="shared" si="3"/>
        <v>618769.0299999999</v>
      </c>
      <c r="I58" s="194">
        <f t="shared" si="3"/>
        <v>618769.0299999999</v>
      </c>
      <c r="J58" s="143"/>
    </row>
    <row r="59" spans="2:10" ht="9.75" customHeight="1">
      <c r="B59" s="52"/>
      <c r="C59" s="64"/>
      <c r="D59" s="153"/>
      <c r="E59" s="153"/>
      <c r="F59" s="153"/>
      <c r="G59" s="153"/>
      <c r="H59" s="153"/>
      <c r="I59" s="153"/>
      <c r="J59" s="143"/>
    </row>
    <row r="60" spans="2:10" ht="9.75" customHeight="1">
      <c r="B60" s="52"/>
      <c r="C60" s="64"/>
      <c r="D60" s="153"/>
      <c r="E60" s="153"/>
      <c r="F60" s="153"/>
      <c r="G60" s="153"/>
      <c r="H60" s="153"/>
      <c r="I60" s="153"/>
      <c r="J60" s="143"/>
    </row>
  </sheetData>
  <sheetProtection password="DEF0" sheet="1" objects="1" scenarios="1"/>
  <mergeCells count="16">
    <mergeCell ref="B7:C9"/>
    <mergeCell ref="I7:I9"/>
    <mergeCell ref="D8:D9"/>
    <mergeCell ref="E8:E9"/>
    <mergeCell ref="F8:F9"/>
    <mergeCell ref="G8:G9"/>
    <mergeCell ref="B58:C58"/>
    <mergeCell ref="H7:H9"/>
    <mergeCell ref="D2:E3"/>
    <mergeCell ref="F2:F3"/>
    <mergeCell ref="G2:G3"/>
    <mergeCell ref="H2:H3"/>
    <mergeCell ref="C5:J5"/>
    <mergeCell ref="I2:I3"/>
    <mergeCell ref="B2:C3"/>
    <mergeCell ref="B6:I6"/>
  </mergeCells>
  <printOptions horizontalCentered="1"/>
  <pageMargins left="0.4724409448818898" right="0.1968503937007874" top="0.5905511811023623" bottom="0.31496062992125984" header="0.2362204724409449" footer="0.1968503937007874"/>
  <pageSetup horizontalDpi="180" verticalDpi="180" orientation="landscape" paperSize="9" scale="65" r:id="rId3"/>
  <legacyDrawing r:id="rId2"/>
</worksheet>
</file>

<file path=xl/worksheets/sheet12.xml><?xml version="1.0" encoding="utf-8"?>
<worksheet xmlns="http://schemas.openxmlformats.org/spreadsheetml/2006/main" xmlns:r="http://schemas.openxmlformats.org/officeDocument/2006/relationships">
  <sheetPr codeName="Plan19"/>
  <dimension ref="A1:J63"/>
  <sheetViews>
    <sheetView showGridLines="0" showRowColHeaders="0" zoomScale="88" zoomScaleNormal="88" zoomScalePageLayoutView="0" workbookViewId="0" topLeftCell="A1">
      <selection activeCell="H47" sqref="H47"/>
    </sheetView>
  </sheetViews>
  <sheetFormatPr defaultColWidth="0" defaultRowHeight="12.75"/>
  <cols>
    <col min="1" max="1" width="2.421875" style="121" customWidth="1"/>
    <col min="2" max="2" width="12.7109375" style="121" customWidth="1"/>
    <col min="3" max="3" width="44.7109375" style="121" customWidth="1"/>
    <col min="4" max="9" width="23.7109375" style="121" customWidth="1"/>
    <col min="10" max="10" width="0.85546875" style="121" customWidth="1"/>
    <col min="11" max="16384" width="0" style="121" hidden="1" customWidth="1"/>
  </cols>
  <sheetData>
    <row r="1" spans="1:10" ht="3" customHeight="1">
      <c r="A1" s="119"/>
      <c r="B1" s="120"/>
      <c r="C1" s="120"/>
      <c r="D1" s="120"/>
      <c r="E1" s="120"/>
      <c r="F1" s="120"/>
      <c r="G1" s="120"/>
      <c r="H1" s="120"/>
      <c r="I1" s="120"/>
      <c r="J1" s="120"/>
    </row>
    <row r="2" spans="1:10" ht="9" customHeight="1">
      <c r="A2" s="119"/>
      <c r="B2" s="677" t="s">
        <v>1140</v>
      </c>
      <c r="C2" s="699"/>
      <c r="D2" s="682" t="str">
        <f>COMANDOBLOQUEADO!S19</f>
        <v>CESÁRIO LANGE</v>
      </c>
      <c r="E2" s="684"/>
      <c r="F2" s="685" t="s">
        <v>268</v>
      </c>
      <c r="G2" s="682" t="str">
        <f>COMANDOBLOQUEADO!U6</f>
        <v>4º TRIMESTRE</v>
      </c>
      <c r="H2" s="682" t="str">
        <f>COMANDOBLOQUEADO!Y6</f>
        <v>2009</v>
      </c>
      <c r="I2" s="682"/>
      <c r="J2" s="120"/>
    </row>
    <row r="3" spans="1:10" ht="9" customHeight="1">
      <c r="A3" s="119"/>
      <c r="B3" s="677"/>
      <c r="C3" s="699"/>
      <c r="D3" s="682"/>
      <c r="E3" s="682"/>
      <c r="F3" s="683"/>
      <c r="G3" s="682"/>
      <c r="H3" s="682"/>
      <c r="I3" s="682"/>
      <c r="J3" s="120"/>
    </row>
    <row r="4" spans="1:10" ht="4.5" customHeight="1">
      <c r="A4" s="120"/>
      <c r="B4" s="154"/>
      <c r="C4" s="57"/>
      <c r="D4" s="57"/>
      <c r="E4" s="57"/>
      <c r="F4" s="57"/>
      <c r="G4" s="57"/>
      <c r="H4" s="57"/>
      <c r="I4" s="57"/>
      <c r="J4" s="120"/>
    </row>
    <row r="5" spans="1:10" ht="21" thickBot="1">
      <c r="A5" s="122"/>
      <c r="B5" s="660" t="s">
        <v>629</v>
      </c>
      <c r="C5" s="661"/>
      <c r="D5" s="661"/>
      <c r="E5" s="661"/>
      <c r="F5" s="661"/>
      <c r="G5" s="661"/>
      <c r="H5" s="661"/>
      <c r="I5" s="661"/>
      <c r="J5" s="120"/>
    </row>
    <row r="6" spans="1:10" ht="15" customHeight="1">
      <c r="A6" s="122"/>
      <c r="B6" s="693" t="s">
        <v>1002</v>
      </c>
      <c r="C6" s="694"/>
      <c r="D6" s="123" t="s">
        <v>294</v>
      </c>
      <c r="E6" s="123" t="s">
        <v>295</v>
      </c>
      <c r="F6" s="123" t="s">
        <v>296</v>
      </c>
      <c r="G6" s="123" t="s">
        <v>297</v>
      </c>
      <c r="H6" s="668" t="s">
        <v>1188</v>
      </c>
      <c r="I6" s="679" t="s">
        <v>1189</v>
      </c>
      <c r="J6" s="120"/>
    </row>
    <row r="7" spans="1:10" ht="15" customHeight="1">
      <c r="A7" s="122"/>
      <c r="B7" s="695"/>
      <c r="C7" s="696"/>
      <c r="D7" s="673" t="s">
        <v>1190</v>
      </c>
      <c r="E7" s="675" t="s">
        <v>1111</v>
      </c>
      <c r="F7" s="675" t="s">
        <v>1111</v>
      </c>
      <c r="G7" s="675" t="s">
        <v>1111</v>
      </c>
      <c r="H7" s="669"/>
      <c r="I7" s="680"/>
      <c r="J7" s="120"/>
    </row>
    <row r="8" spans="1:10" ht="15" customHeight="1" thickBot="1">
      <c r="A8" s="122"/>
      <c r="B8" s="697"/>
      <c r="C8" s="698"/>
      <c r="D8" s="674"/>
      <c r="E8" s="676"/>
      <c r="F8" s="676"/>
      <c r="G8" s="676"/>
      <c r="H8" s="670"/>
      <c r="I8" s="681"/>
      <c r="J8" s="120"/>
    </row>
    <row r="9" spans="1:10" ht="15.75" customHeight="1" thickBot="1">
      <c r="A9" s="122"/>
      <c r="B9" s="124" t="s">
        <v>1176</v>
      </c>
      <c r="C9" s="125" t="s">
        <v>124</v>
      </c>
      <c r="D9" s="126" t="s">
        <v>192</v>
      </c>
      <c r="E9" s="126" t="s">
        <v>192</v>
      </c>
      <c r="F9" s="126" t="s">
        <v>192</v>
      </c>
      <c r="G9" s="126" t="s">
        <v>192</v>
      </c>
      <c r="H9" s="126" t="s">
        <v>192</v>
      </c>
      <c r="I9" s="127" t="s">
        <v>192</v>
      </c>
      <c r="J9" s="120"/>
    </row>
    <row r="10" spans="1:10" ht="13.5" customHeight="1">
      <c r="A10" s="122"/>
      <c r="B10" s="131" t="s">
        <v>1173</v>
      </c>
      <c r="C10" s="67" t="s">
        <v>1163</v>
      </c>
      <c r="D10" s="129">
        <v>0</v>
      </c>
      <c r="E10" s="129">
        <v>0</v>
      </c>
      <c r="F10" s="129">
        <v>0</v>
      </c>
      <c r="G10" s="129">
        <v>0</v>
      </c>
      <c r="H10" s="129">
        <v>0</v>
      </c>
      <c r="I10" s="130">
        <v>0</v>
      </c>
      <c r="J10" s="120"/>
    </row>
    <row r="11" spans="1:10" ht="13.5" customHeight="1">
      <c r="A11" s="122"/>
      <c r="B11" s="131" t="s">
        <v>1164</v>
      </c>
      <c r="C11" s="67" t="s">
        <v>1165</v>
      </c>
      <c r="D11" s="129">
        <v>474302.54</v>
      </c>
      <c r="E11" s="129">
        <v>1099620.07</v>
      </c>
      <c r="F11" s="129">
        <f>1524365.95+195835.72</f>
        <v>1720201.67</v>
      </c>
      <c r="G11" s="129">
        <v>2884524.79</v>
      </c>
      <c r="H11" s="129">
        <v>2884524.79</v>
      </c>
      <c r="I11" s="129">
        <v>2884524.79</v>
      </c>
      <c r="J11" s="120"/>
    </row>
    <row r="12" spans="1:10" ht="13.5" customHeight="1">
      <c r="A12" s="122"/>
      <c r="B12" s="131" t="s">
        <v>1166</v>
      </c>
      <c r="C12" s="67" t="s">
        <v>1167</v>
      </c>
      <c r="D12" s="129">
        <v>156787.68</v>
      </c>
      <c r="E12" s="129">
        <v>317429.09</v>
      </c>
      <c r="F12" s="129">
        <f>424924.62+50887.49</f>
        <v>475812.11</v>
      </c>
      <c r="G12" s="129">
        <v>667316.71</v>
      </c>
      <c r="H12" s="129">
        <f>G12</f>
        <v>667316.71</v>
      </c>
      <c r="I12" s="130">
        <v>667316.71</v>
      </c>
      <c r="J12" s="120"/>
    </row>
    <row r="13" spans="1:10" ht="13.5" customHeight="1" thickBot="1">
      <c r="A13" s="122"/>
      <c r="B13" s="132"/>
      <c r="C13" s="133"/>
      <c r="D13" s="129"/>
      <c r="E13" s="129"/>
      <c r="F13" s="129"/>
      <c r="G13" s="129"/>
      <c r="H13" s="129"/>
      <c r="I13" s="130"/>
      <c r="J13" s="120"/>
    </row>
    <row r="14" spans="1:10" ht="15" customHeight="1" thickBot="1">
      <c r="A14" s="122"/>
      <c r="B14" s="134"/>
      <c r="C14" s="135" t="s">
        <v>1102</v>
      </c>
      <c r="D14" s="136">
        <f aca="true" t="shared" si="0" ref="D14:I14">SUM(D10:D13)</f>
        <v>631090.22</v>
      </c>
      <c r="E14" s="136">
        <f t="shared" si="0"/>
        <v>1417049.1600000001</v>
      </c>
      <c r="F14" s="136">
        <f t="shared" si="0"/>
        <v>2196013.78</v>
      </c>
      <c r="G14" s="136">
        <f t="shared" si="0"/>
        <v>3551841.5</v>
      </c>
      <c r="H14" s="136">
        <f t="shared" si="0"/>
        <v>3551841.5</v>
      </c>
      <c r="I14" s="193">
        <f t="shared" si="0"/>
        <v>3551841.5</v>
      </c>
      <c r="J14" s="120"/>
    </row>
    <row r="15" spans="2:10" s="58" customFormat="1" ht="15.75" customHeight="1" thickBot="1">
      <c r="B15" s="124" t="s">
        <v>1176</v>
      </c>
      <c r="C15" s="125" t="s">
        <v>125</v>
      </c>
      <c r="D15" s="126" t="s">
        <v>192</v>
      </c>
      <c r="E15" s="126" t="s">
        <v>192</v>
      </c>
      <c r="F15" s="126" t="s">
        <v>192</v>
      </c>
      <c r="G15" s="126" t="s">
        <v>192</v>
      </c>
      <c r="H15" s="126" t="s">
        <v>192</v>
      </c>
      <c r="I15" s="127" t="s">
        <v>192</v>
      </c>
      <c r="J15" s="143"/>
    </row>
    <row r="16" spans="1:10" ht="13.5" customHeight="1">
      <c r="A16" s="122"/>
      <c r="B16" s="131" t="s">
        <v>1173</v>
      </c>
      <c r="C16" s="67" t="s">
        <v>1163</v>
      </c>
      <c r="D16" s="129">
        <v>0</v>
      </c>
      <c r="E16" s="129">
        <v>0</v>
      </c>
      <c r="F16" s="129">
        <v>0</v>
      </c>
      <c r="G16" s="129">
        <v>0</v>
      </c>
      <c r="H16" s="129">
        <v>0</v>
      </c>
      <c r="I16" s="130">
        <v>0</v>
      </c>
      <c r="J16" s="120"/>
    </row>
    <row r="17" spans="2:10" s="58" customFormat="1" ht="13.5" customHeight="1">
      <c r="B17" s="131" t="s">
        <v>1164</v>
      </c>
      <c r="C17" s="67" t="s">
        <v>1165</v>
      </c>
      <c r="D17" s="129">
        <v>89692.53</v>
      </c>
      <c r="E17" s="129">
        <v>269024.36</v>
      </c>
      <c r="F17" s="129">
        <f>466900.44-79918.33</f>
        <v>386982.11</v>
      </c>
      <c r="G17" s="129">
        <v>655060.49</v>
      </c>
      <c r="H17" s="129">
        <v>655060.49</v>
      </c>
      <c r="I17" s="130">
        <v>655060.49</v>
      </c>
      <c r="J17" s="143"/>
    </row>
    <row r="18" spans="2:10" s="58" customFormat="1" ht="13.5" customHeight="1">
      <c r="B18" s="131" t="s">
        <v>1166</v>
      </c>
      <c r="C18" s="67" t="s">
        <v>1167</v>
      </c>
      <c r="D18" s="129">
        <v>29586.16</v>
      </c>
      <c r="E18" s="129">
        <v>82152.54</v>
      </c>
      <c r="F18" s="129">
        <f>134170.65-13180.74</f>
        <v>120989.90999999999</v>
      </c>
      <c r="G18" s="129">
        <v>191743.12</v>
      </c>
      <c r="H18" s="129">
        <v>191743.12</v>
      </c>
      <c r="I18" s="130">
        <v>193113.86</v>
      </c>
      <c r="J18" s="143"/>
    </row>
    <row r="19" spans="2:10" s="58" customFormat="1" ht="13.5" customHeight="1">
      <c r="B19" s="131" t="s">
        <v>1174</v>
      </c>
      <c r="C19" s="67" t="s">
        <v>1175</v>
      </c>
      <c r="D19" s="129">
        <v>53609.52</v>
      </c>
      <c r="E19" s="129">
        <v>275734.97</v>
      </c>
      <c r="F19" s="129">
        <f>572755.12-101617.5</f>
        <v>471137.62</v>
      </c>
      <c r="G19" s="129">
        <v>603561.1</v>
      </c>
      <c r="H19" s="129">
        <v>603561.1</v>
      </c>
      <c r="I19" s="130">
        <v>603561.1</v>
      </c>
      <c r="J19" s="143"/>
    </row>
    <row r="20" spans="2:10" s="58" customFormat="1" ht="13.5" customHeight="1">
      <c r="B20" s="131" t="s">
        <v>1177</v>
      </c>
      <c r="C20" s="67" t="s">
        <v>1178</v>
      </c>
      <c r="D20" s="129">
        <v>800</v>
      </c>
      <c r="E20" s="129">
        <v>5100</v>
      </c>
      <c r="F20" s="129">
        <f>7850+2150</f>
        <v>10000</v>
      </c>
      <c r="G20" s="129">
        <v>29647.61</v>
      </c>
      <c r="H20" s="129">
        <v>29647.61</v>
      </c>
      <c r="I20" s="130">
        <v>29647.61</v>
      </c>
      <c r="J20" s="143"/>
    </row>
    <row r="21" spans="2:10" s="58" customFormat="1" ht="13.5" customHeight="1">
      <c r="B21" s="131" t="s">
        <v>1180</v>
      </c>
      <c r="C21" s="67" t="s">
        <v>1179</v>
      </c>
      <c r="D21" s="129">
        <v>52757.28</v>
      </c>
      <c r="E21" s="129">
        <v>121867.36</v>
      </c>
      <c r="F21" s="129">
        <f>168947.39+20912.23</f>
        <v>189859.62000000002</v>
      </c>
      <c r="G21" s="129">
        <v>258047.37</v>
      </c>
      <c r="H21" s="129">
        <v>258047.37</v>
      </c>
      <c r="I21" s="130">
        <v>258047.37</v>
      </c>
      <c r="J21" s="143"/>
    </row>
    <row r="22" spans="2:10" s="58" customFormat="1" ht="13.5" customHeight="1">
      <c r="B22" s="131" t="s">
        <v>486</v>
      </c>
      <c r="C22" s="67" t="s">
        <v>1181</v>
      </c>
      <c r="D22" s="129">
        <v>0</v>
      </c>
      <c r="E22" s="129">
        <v>0</v>
      </c>
      <c r="F22" s="129">
        <v>18200.4</v>
      </c>
      <c r="G22" s="129">
        <v>126356.18</v>
      </c>
      <c r="H22" s="129">
        <v>126356.18</v>
      </c>
      <c r="I22" s="130">
        <v>18200.4</v>
      </c>
      <c r="J22" s="143"/>
    </row>
    <row r="23" spans="2:10" s="58" customFormat="1" ht="13.5" customHeight="1">
      <c r="B23" s="131" t="s">
        <v>487</v>
      </c>
      <c r="C23" s="67" t="s">
        <v>1182</v>
      </c>
      <c r="D23" s="129">
        <v>6040</v>
      </c>
      <c r="E23" s="129">
        <v>25126.51</v>
      </c>
      <c r="F23" s="129">
        <f>38612.35+164214</f>
        <v>202826.35</v>
      </c>
      <c r="G23" s="129">
        <v>440728.35</v>
      </c>
      <c r="H23" s="129">
        <v>440728.35</v>
      </c>
      <c r="I23" s="130">
        <v>440728.35</v>
      </c>
      <c r="J23" s="143"/>
    </row>
    <row r="24" spans="2:10" s="58" customFormat="1" ht="13.5" customHeight="1" thickBot="1">
      <c r="B24" s="148" t="s">
        <v>687</v>
      </c>
      <c r="C24" s="147" t="s">
        <v>979</v>
      </c>
      <c r="D24" s="129">
        <v>25804.24</v>
      </c>
      <c r="E24" s="129">
        <v>42813.24</v>
      </c>
      <c r="F24" s="129">
        <f>53909.24+5548</f>
        <v>59457.24</v>
      </c>
      <c r="G24" s="129">
        <v>75663.24</v>
      </c>
      <c r="H24" s="129">
        <v>75663.24</v>
      </c>
      <c r="I24" s="130">
        <v>75663.24</v>
      </c>
      <c r="J24" s="143"/>
    </row>
    <row r="25" spans="2:10" s="58" customFormat="1" ht="15" customHeight="1" thickBot="1">
      <c r="B25" s="137"/>
      <c r="C25" s="125" t="s">
        <v>1102</v>
      </c>
      <c r="D25" s="138">
        <f aca="true" t="shared" si="1" ref="D25:I25">SUM(D16:D24)</f>
        <v>258289.72999999998</v>
      </c>
      <c r="E25" s="138">
        <f t="shared" si="1"/>
        <v>821818.9799999999</v>
      </c>
      <c r="F25" s="138">
        <f t="shared" si="1"/>
        <v>1459453.25</v>
      </c>
      <c r="G25" s="138">
        <f t="shared" si="1"/>
        <v>2380807.46</v>
      </c>
      <c r="H25" s="138">
        <f t="shared" si="1"/>
        <v>2380807.46</v>
      </c>
      <c r="I25" s="139">
        <f t="shared" si="1"/>
        <v>2274022.4200000004</v>
      </c>
      <c r="J25" s="143"/>
    </row>
    <row r="26" spans="1:10" ht="15.75" customHeight="1" thickBot="1">
      <c r="A26" s="122"/>
      <c r="B26" s="124" t="s">
        <v>1176</v>
      </c>
      <c r="C26" s="125" t="s">
        <v>126</v>
      </c>
      <c r="D26" s="126" t="s">
        <v>192</v>
      </c>
      <c r="E26" s="126" t="s">
        <v>192</v>
      </c>
      <c r="F26" s="126" t="s">
        <v>192</v>
      </c>
      <c r="G26" s="126" t="s">
        <v>192</v>
      </c>
      <c r="H26" s="126" t="s">
        <v>192</v>
      </c>
      <c r="I26" s="127" t="s">
        <v>192</v>
      </c>
      <c r="J26" s="120"/>
    </row>
    <row r="27" spans="1:10" ht="13.5" customHeight="1">
      <c r="A27" s="122"/>
      <c r="B27" s="131" t="s">
        <v>1173</v>
      </c>
      <c r="C27" s="67" t="s">
        <v>1163</v>
      </c>
      <c r="D27" s="129">
        <v>0</v>
      </c>
      <c r="E27" s="129"/>
      <c r="F27" s="129"/>
      <c r="G27" s="129"/>
      <c r="H27" s="129">
        <v>0</v>
      </c>
      <c r="I27" s="130">
        <v>0</v>
      </c>
      <c r="J27" s="120"/>
    </row>
    <row r="28" spans="1:10" ht="13.5" customHeight="1">
      <c r="A28" s="122"/>
      <c r="B28" s="131" t="s">
        <v>1164</v>
      </c>
      <c r="C28" s="67" t="s">
        <v>1165</v>
      </c>
      <c r="D28" s="129">
        <v>0</v>
      </c>
      <c r="E28" s="129">
        <v>0</v>
      </c>
      <c r="F28" s="129">
        <v>0</v>
      </c>
      <c r="G28" s="129">
        <v>294872.29</v>
      </c>
      <c r="H28" s="129">
        <v>294872.29</v>
      </c>
      <c r="I28" s="130">
        <v>294872.29</v>
      </c>
      <c r="J28" s="120"/>
    </row>
    <row r="29" spans="1:10" ht="13.5" customHeight="1">
      <c r="A29" s="122"/>
      <c r="B29" s="131" t="s">
        <v>1166</v>
      </c>
      <c r="C29" s="67" t="s">
        <v>1167</v>
      </c>
      <c r="D29" s="129">
        <v>0</v>
      </c>
      <c r="E29" s="129">
        <v>0</v>
      </c>
      <c r="F29" s="129">
        <v>0</v>
      </c>
      <c r="G29" s="129">
        <v>70412.69</v>
      </c>
      <c r="H29" s="129">
        <v>70412.69</v>
      </c>
      <c r="I29" s="130">
        <v>70412.69</v>
      </c>
      <c r="J29" s="120"/>
    </row>
    <row r="30" spans="1:10" ht="13.5" customHeight="1" thickBot="1">
      <c r="A30" s="122"/>
      <c r="B30" s="132" t="s">
        <v>1174</v>
      </c>
      <c r="C30" s="133"/>
      <c r="D30" s="129"/>
      <c r="E30" s="129"/>
      <c r="F30" s="129"/>
      <c r="G30" s="129"/>
      <c r="H30" s="129"/>
      <c r="I30" s="130"/>
      <c r="J30" s="120"/>
    </row>
    <row r="31" spans="1:10" ht="15" customHeight="1" thickBot="1">
      <c r="A31" s="122"/>
      <c r="B31" s="134"/>
      <c r="C31" s="135" t="s">
        <v>1102</v>
      </c>
      <c r="D31" s="136">
        <f aca="true" t="shared" si="2" ref="D31:I31">SUM(D27:D30)</f>
        <v>0</v>
      </c>
      <c r="E31" s="136">
        <f t="shared" si="2"/>
        <v>0</v>
      </c>
      <c r="F31" s="136">
        <f t="shared" si="2"/>
        <v>0</v>
      </c>
      <c r="G31" s="136">
        <f t="shared" si="2"/>
        <v>365284.98</v>
      </c>
      <c r="H31" s="136">
        <f t="shared" si="2"/>
        <v>365284.98</v>
      </c>
      <c r="I31" s="193">
        <f t="shared" si="2"/>
        <v>365284.98</v>
      </c>
      <c r="J31" s="120"/>
    </row>
    <row r="32" spans="2:10" s="58" customFormat="1" ht="15.75" customHeight="1" thickBot="1">
      <c r="B32" s="124" t="s">
        <v>1176</v>
      </c>
      <c r="C32" s="125" t="s">
        <v>127</v>
      </c>
      <c r="D32" s="126" t="s">
        <v>192</v>
      </c>
      <c r="E32" s="126" t="s">
        <v>192</v>
      </c>
      <c r="F32" s="126" t="s">
        <v>192</v>
      </c>
      <c r="G32" s="126" t="s">
        <v>192</v>
      </c>
      <c r="H32" s="126" t="s">
        <v>192</v>
      </c>
      <c r="I32" s="127" t="s">
        <v>192</v>
      </c>
      <c r="J32" s="143"/>
    </row>
    <row r="33" spans="1:10" ht="13.5" customHeight="1">
      <c r="A33" s="122"/>
      <c r="B33" s="131" t="s">
        <v>1173</v>
      </c>
      <c r="C33" s="67" t="s">
        <v>1163</v>
      </c>
      <c r="D33" s="129">
        <v>0</v>
      </c>
      <c r="E33" s="129">
        <v>0</v>
      </c>
      <c r="F33" s="129">
        <v>0</v>
      </c>
      <c r="G33" s="129">
        <v>0</v>
      </c>
      <c r="H33" s="129">
        <v>0</v>
      </c>
      <c r="I33" s="130">
        <v>0</v>
      </c>
      <c r="J33" s="120"/>
    </row>
    <row r="34" spans="2:10" s="58" customFormat="1" ht="13.5" customHeight="1">
      <c r="B34" s="131" t="s">
        <v>1164</v>
      </c>
      <c r="C34" s="67" t="s">
        <v>1165</v>
      </c>
      <c r="D34" s="129">
        <v>0</v>
      </c>
      <c r="E34" s="129">
        <v>0</v>
      </c>
      <c r="F34" s="129">
        <v>0</v>
      </c>
      <c r="G34" s="129">
        <v>0</v>
      </c>
      <c r="H34" s="129">
        <v>0</v>
      </c>
      <c r="I34" s="130">
        <v>0</v>
      </c>
      <c r="J34" s="143"/>
    </row>
    <row r="35" spans="2:10" s="58" customFormat="1" ht="13.5" customHeight="1">
      <c r="B35" s="131" t="s">
        <v>1166</v>
      </c>
      <c r="C35" s="67" t="s">
        <v>1167</v>
      </c>
      <c r="D35" s="129">
        <v>0</v>
      </c>
      <c r="E35" s="129">
        <v>0</v>
      </c>
      <c r="F35" s="129">
        <v>0</v>
      </c>
      <c r="G35" s="129">
        <v>0</v>
      </c>
      <c r="H35" s="129">
        <v>0</v>
      </c>
      <c r="I35" s="130">
        <v>0</v>
      </c>
      <c r="J35" s="143"/>
    </row>
    <row r="36" spans="2:10" s="58" customFormat="1" ht="13.5" customHeight="1">
      <c r="B36" s="131" t="s">
        <v>1174</v>
      </c>
      <c r="C36" s="67" t="s">
        <v>1175</v>
      </c>
      <c r="D36" s="129">
        <v>0</v>
      </c>
      <c r="E36" s="129">
        <v>0</v>
      </c>
      <c r="F36" s="129">
        <v>0</v>
      </c>
      <c r="G36" s="129">
        <v>0</v>
      </c>
      <c r="H36" s="129">
        <v>0</v>
      </c>
      <c r="I36" s="130">
        <v>0</v>
      </c>
      <c r="J36" s="143"/>
    </row>
    <row r="37" spans="2:10" s="58" customFormat="1" ht="13.5" customHeight="1">
      <c r="B37" s="131" t="s">
        <v>1177</v>
      </c>
      <c r="C37" s="67" t="s">
        <v>1178</v>
      </c>
      <c r="D37" s="129">
        <v>0</v>
      </c>
      <c r="E37" s="129">
        <v>0</v>
      </c>
      <c r="F37" s="129">
        <v>0</v>
      </c>
      <c r="G37" s="129">
        <v>0</v>
      </c>
      <c r="H37" s="129">
        <v>0</v>
      </c>
      <c r="I37" s="130">
        <v>0</v>
      </c>
      <c r="J37" s="143"/>
    </row>
    <row r="38" spans="2:10" s="58" customFormat="1" ht="13.5" customHeight="1">
      <c r="B38" s="131" t="s">
        <v>1180</v>
      </c>
      <c r="C38" s="67" t="s">
        <v>1179</v>
      </c>
      <c r="D38" s="129">
        <v>0</v>
      </c>
      <c r="E38" s="129">
        <v>0</v>
      </c>
      <c r="F38" s="129">
        <v>0</v>
      </c>
      <c r="G38" s="129">
        <v>0</v>
      </c>
      <c r="H38" s="129">
        <v>0</v>
      </c>
      <c r="I38" s="130">
        <v>0</v>
      </c>
      <c r="J38" s="143"/>
    </row>
    <row r="39" spans="2:10" s="58" customFormat="1" ht="13.5" customHeight="1">
      <c r="B39" s="131" t="s">
        <v>486</v>
      </c>
      <c r="C39" s="67" t="s">
        <v>1181</v>
      </c>
      <c r="D39" s="129">
        <v>0</v>
      </c>
      <c r="E39" s="129">
        <v>0</v>
      </c>
      <c r="F39" s="129">
        <v>0</v>
      </c>
      <c r="G39" s="129">
        <v>0</v>
      </c>
      <c r="H39" s="129">
        <v>0</v>
      </c>
      <c r="I39" s="130">
        <v>0</v>
      </c>
      <c r="J39" s="143"/>
    </row>
    <row r="40" spans="2:10" s="58" customFormat="1" ht="13.5" customHeight="1">
      <c r="B40" s="131" t="s">
        <v>487</v>
      </c>
      <c r="C40" s="67" t="s">
        <v>1182</v>
      </c>
      <c r="D40" s="129">
        <v>0</v>
      </c>
      <c r="E40" s="129">
        <v>0</v>
      </c>
      <c r="F40" s="129">
        <v>0</v>
      </c>
      <c r="G40" s="129">
        <v>0</v>
      </c>
      <c r="H40" s="129">
        <v>0</v>
      </c>
      <c r="I40" s="130">
        <v>0</v>
      </c>
      <c r="J40" s="143"/>
    </row>
    <row r="41" spans="2:10" s="58" customFormat="1" ht="13.5" customHeight="1" thickBot="1">
      <c r="B41" s="148"/>
      <c r="C41" s="147"/>
      <c r="D41" s="129"/>
      <c r="E41" s="129"/>
      <c r="F41" s="129"/>
      <c r="G41" s="129">
        <v>0</v>
      </c>
      <c r="H41" s="129">
        <v>0</v>
      </c>
      <c r="I41" s="130">
        <v>0</v>
      </c>
      <c r="J41" s="143"/>
    </row>
    <row r="42" spans="2:10" s="58" customFormat="1" ht="15" customHeight="1" thickBot="1">
      <c r="B42" s="137"/>
      <c r="C42" s="125" t="s">
        <v>1102</v>
      </c>
      <c r="D42" s="138">
        <f aca="true" t="shared" si="3" ref="D42:I42">SUM(D33:D41)</f>
        <v>0</v>
      </c>
      <c r="E42" s="138">
        <f t="shared" si="3"/>
        <v>0</v>
      </c>
      <c r="F42" s="138">
        <f t="shared" si="3"/>
        <v>0</v>
      </c>
      <c r="G42" s="138">
        <f t="shared" si="3"/>
        <v>0</v>
      </c>
      <c r="H42" s="138">
        <f t="shared" si="3"/>
        <v>0</v>
      </c>
      <c r="I42" s="139">
        <f t="shared" si="3"/>
        <v>0</v>
      </c>
      <c r="J42" s="143"/>
    </row>
    <row r="43" spans="1:10" ht="15.75" customHeight="1" thickBot="1">
      <c r="A43" s="122"/>
      <c r="B43" s="124" t="s">
        <v>1176</v>
      </c>
      <c r="C43" s="125" t="s">
        <v>128</v>
      </c>
      <c r="D43" s="126" t="s">
        <v>192</v>
      </c>
      <c r="E43" s="126" t="s">
        <v>192</v>
      </c>
      <c r="F43" s="126" t="s">
        <v>192</v>
      </c>
      <c r="G43" s="126" t="s">
        <v>192</v>
      </c>
      <c r="H43" s="126" t="s">
        <v>192</v>
      </c>
      <c r="I43" s="127" t="s">
        <v>192</v>
      </c>
      <c r="J43" s="120"/>
    </row>
    <row r="44" spans="1:10" ht="13.5" customHeight="1">
      <c r="A44" s="122"/>
      <c r="B44" s="131" t="s">
        <v>1173</v>
      </c>
      <c r="C44" s="67" t="s">
        <v>1163</v>
      </c>
      <c r="D44" s="129">
        <v>0</v>
      </c>
      <c r="E44" s="129">
        <v>0</v>
      </c>
      <c r="F44" s="129">
        <v>0</v>
      </c>
      <c r="G44" s="129">
        <v>0</v>
      </c>
      <c r="H44" s="129">
        <v>0</v>
      </c>
      <c r="I44" s="130">
        <v>0</v>
      </c>
      <c r="J44" s="120"/>
    </row>
    <row r="45" spans="1:10" ht="13.5" customHeight="1">
      <c r="A45" s="122"/>
      <c r="B45" s="131" t="s">
        <v>1164</v>
      </c>
      <c r="C45" s="67" t="s">
        <v>1165</v>
      </c>
      <c r="D45" s="129">
        <v>0</v>
      </c>
      <c r="E45" s="129">
        <v>0</v>
      </c>
      <c r="F45" s="129">
        <v>0</v>
      </c>
      <c r="G45" s="129">
        <v>0</v>
      </c>
      <c r="H45" s="129">
        <v>0</v>
      </c>
      <c r="I45" s="130">
        <v>0</v>
      </c>
      <c r="J45" s="120"/>
    </row>
    <row r="46" spans="1:10" ht="13.5" customHeight="1">
      <c r="A46" s="122"/>
      <c r="B46" s="131" t="s">
        <v>1166</v>
      </c>
      <c r="C46" s="67" t="s">
        <v>1167</v>
      </c>
      <c r="D46" s="129">
        <v>0</v>
      </c>
      <c r="E46" s="129">
        <v>0</v>
      </c>
      <c r="F46" s="129">
        <v>0</v>
      </c>
      <c r="G46" s="129">
        <v>0</v>
      </c>
      <c r="H46" s="129">
        <v>0</v>
      </c>
      <c r="I46" s="130">
        <v>0</v>
      </c>
      <c r="J46" s="120"/>
    </row>
    <row r="47" spans="1:10" ht="13.5" customHeight="1" thickBot="1">
      <c r="A47" s="122"/>
      <c r="B47" s="132"/>
      <c r="C47" s="133"/>
      <c r="D47" s="129"/>
      <c r="E47" s="129"/>
      <c r="F47" s="129"/>
      <c r="G47" s="129"/>
      <c r="H47" s="129"/>
      <c r="I47" s="130">
        <v>0</v>
      </c>
      <c r="J47" s="120"/>
    </row>
    <row r="48" spans="1:10" ht="15" customHeight="1" thickBot="1">
      <c r="A48" s="122"/>
      <c r="B48" s="134"/>
      <c r="C48" s="125" t="s">
        <v>1102</v>
      </c>
      <c r="D48" s="136">
        <f aca="true" t="shared" si="4" ref="D48:I48">SUM(D44:D47)</f>
        <v>0</v>
      </c>
      <c r="E48" s="136">
        <f t="shared" si="4"/>
        <v>0</v>
      </c>
      <c r="F48" s="136">
        <f t="shared" si="4"/>
        <v>0</v>
      </c>
      <c r="G48" s="136">
        <f t="shared" si="4"/>
        <v>0</v>
      </c>
      <c r="H48" s="136">
        <f t="shared" si="4"/>
        <v>0</v>
      </c>
      <c r="I48" s="193">
        <f t="shared" si="4"/>
        <v>0</v>
      </c>
      <c r="J48" s="120"/>
    </row>
    <row r="49" spans="2:10" s="58" customFormat="1" ht="15.75" customHeight="1" thickBot="1">
      <c r="B49" s="124" t="s">
        <v>1176</v>
      </c>
      <c r="C49" s="125" t="s">
        <v>129</v>
      </c>
      <c r="D49" s="126" t="s">
        <v>192</v>
      </c>
      <c r="E49" s="126" t="s">
        <v>192</v>
      </c>
      <c r="F49" s="126" t="s">
        <v>192</v>
      </c>
      <c r="G49" s="126" t="s">
        <v>192</v>
      </c>
      <c r="H49" s="126" t="s">
        <v>192</v>
      </c>
      <c r="I49" s="127" t="s">
        <v>192</v>
      </c>
      <c r="J49" s="143"/>
    </row>
    <row r="50" spans="1:10" ht="13.5" customHeight="1">
      <c r="A50" s="122"/>
      <c r="B50" s="131" t="s">
        <v>1173</v>
      </c>
      <c r="C50" s="67" t="s">
        <v>1163</v>
      </c>
      <c r="D50" s="129">
        <v>0</v>
      </c>
      <c r="E50" s="129">
        <v>0</v>
      </c>
      <c r="F50" s="129">
        <v>0</v>
      </c>
      <c r="G50" s="129">
        <v>0</v>
      </c>
      <c r="H50" s="129">
        <v>0</v>
      </c>
      <c r="I50" s="130">
        <v>0</v>
      </c>
      <c r="J50" s="120"/>
    </row>
    <row r="51" spans="2:10" s="58" customFormat="1" ht="13.5" customHeight="1">
      <c r="B51" s="131" t="s">
        <v>1164</v>
      </c>
      <c r="C51" s="67" t="s">
        <v>1165</v>
      </c>
      <c r="D51" s="129">
        <v>0</v>
      </c>
      <c r="E51" s="129">
        <v>0</v>
      </c>
      <c r="F51" s="129">
        <v>0</v>
      </c>
      <c r="G51" s="129">
        <v>0</v>
      </c>
      <c r="H51" s="129">
        <v>0</v>
      </c>
      <c r="I51" s="130">
        <v>0</v>
      </c>
      <c r="J51" s="143"/>
    </row>
    <row r="52" spans="2:10" s="58" customFormat="1" ht="13.5" customHeight="1">
      <c r="B52" s="131" t="s">
        <v>1166</v>
      </c>
      <c r="C52" s="67" t="s">
        <v>1167</v>
      </c>
      <c r="D52" s="129">
        <v>0</v>
      </c>
      <c r="E52" s="129">
        <v>0</v>
      </c>
      <c r="F52" s="129">
        <v>0</v>
      </c>
      <c r="G52" s="129">
        <v>0</v>
      </c>
      <c r="H52" s="129">
        <v>0</v>
      </c>
      <c r="I52" s="130">
        <v>0</v>
      </c>
      <c r="J52" s="143"/>
    </row>
    <row r="53" spans="2:10" s="58" customFormat="1" ht="13.5" customHeight="1">
      <c r="B53" s="131" t="s">
        <v>1174</v>
      </c>
      <c r="C53" s="67" t="s">
        <v>1175</v>
      </c>
      <c r="D53" s="129">
        <v>0</v>
      </c>
      <c r="E53" s="129">
        <v>0</v>
      </c>
      <c r="F53" s="129">
        <v>0</v>
      </c>
      <c r="G53" s="129">
        <v>0</v>
      </c>
      <c r="H53" s="129">
        <v>0</v>
      </c>
      <c r="I53" s="130">
        <v>0</v>
      </c>
      <c r="J53" s="143"/>
    </row>
    <row r="54" spans="2:10" s="58" customFormat="1" ht="13.5" customHeight="1">
      <c r="B54" s="131" t="s">
        <v>1177</v>
      </c>
      <c r="C54" s="67" t="s">
        <v>1178</v>
      </c>
      <c r="D54" s="129">
        <v>0</v>
      </c>
      <c r="E54" s="129">
        <v>0</v>
      </c>
      <c r="F54" s="129">
        <v>0</v>
      </c>
      <c r="G54" s="129">
        <v>0</v>
      </c>
      <c r="H54" s="129">
        <v>0</v>
      </c>
      <c r="I54" s="130">
        <v>0</v>
      </c>
      <c r="J54" s="143"/>
    </row>
    <row r="55" spans="2:10" s="58" customFormat="1" ht="13.5" customHeight="1">
      <c r="B55" s="131" t="s">
        <v>1180</v>
      </c>
      <c r="C55" s="67" t="s">
        <v>1179</v>
      </c>
      <c r="D55" s="129">
        <v>0</v>
      </c>
      <c r="E55" s="129">
        <v>0</v>
      </c>
      <c r="F55" s="129">
        <v>0</v>
      </c>
      <c r="G55" s="129">
        <v>0</v>
      </c>
      <c r="H55" s="129">
        <v>0</v>
      </c>
      <c r="I55" s="130">
        <v>0</v>
      </c>
      <c r="J55" s="143"/>
    </row>
    <row r="56" spans="2:10" s="58" customFormat="1" ht="13.5" customHeight="1">
      <c r="B56" s="131" t="s">
        <v>486</v>
      </c>
      <c r="C56" s="67" t="s">
        <v>1181</v>
      </c>
      <c r="D56" s="129">
        <v>0</v>
      </c>
      <c r="E56" s="129">
        <v>0</v>
      </c>
      <c r="F56" s="129">
        <v>0</v>
      </c>
      <c r="G56" s="129">
        <v>0</v>
      </c>
      <c r="H56" s="129">
        <v>0</v>
      </c>
      <c r="I56" s="130">
        <v>0</v>
      </c>
      <c r="J56" s="143"/>
    </row>
    <row r="57" spans="2:10" s="58" customFormat="1" ht="13.5" customHeight="1">
      <c r="B57" s="131" t="s">
        <v>487</v>
      </c>
      <c r="C57" s="67" t="s">
        <v>1182</v>
      </c>
      <c r="D57" s="129">
        <v>0</v>
      </c>
      <c r="E57" s="129">
        <v>0</v>
      </c>
      <c r="F57" s="129">
        <v>0</v>
      </c>
      <c r="G57" s="129">
        <v>0</v>
      </c>
      <c r="H57" s="129">
        <v>0</v>
      </c>
      <c r="I57" s="130">
        <v>0</v>
      </c>
      <c r="J57" s="143"/>
    </row>
    <row r="58" spans="2:10" s="58" customFormat="1" ht="13.5" customHeight="1" thickBot="1">
      <c r="B58" s="518" t="s">
        <v>102</v>
      </c>
      <c r="C58" s="147"/>
      <c r="D58" s="129">
        <v>0</v>
      </c>
      <c r="E58" s="129">
        <v>0</v>
      </c>
      <c r="F58" s="129">
        <v>0</v>
      </c>
      <c r="G58" s="129"/>
      <c r="H58" s="129"/>
      <c r="I58" s="130"/>
      <c r="J58" s="143"/>
    </row>
    <row r="59" spans="1:10" ht="15" customHeight="1" thickBot="1">
      <c r="A59" s="122"/>
      <c r="B59" s="137"/>
      <c r="C59" s="125" t="s">
        <v>1102</v>
      </c>
      <c r="D59" s="138">
        <f aca="true" t="shared" si="5" ref="D59:I59">SUM(D50:D58)</f>
        <v>0</v>
      </c>
      <c r="E59" s="138">
        <f t="shared" si="5"/>
        <v>0</v>
      </c>
      <c r="F59" s="138">
        <f t="shared" si="5"/>
        <v>0</v>
      </c>
      <c r="G59" s="138">
        <f t="shared" si="5"/>
        <v>0</v>
      </c>
      <c r="H59" s="138">
        <f t="shared" si="5"/>
        <v>0</v>
      </c>
      <c r="I59" s="139">
        <f t="shared" si="5"/>
        <v>0</v>
      </c>
      <c r="J59" s="120"/>
    </row>
    <row r="60" spans="1:10" ht="19.5" customHeight="1" thickBot="1">
      <c r="A60" s="140"/>
      <c r="B60" s="658" t="s">
        <v>659</v>
      </c>
      <c r="C60" s="659"/>
      <c r="D60" s="141">
        <f aca="true" t="shared" si="6" ref="D60:I60">D14+D25+D31+D42+D48+D59</f>
        <v>889379.95</v>
      </c>
      <c r="E60" s="141">
        <f t="shared" si="6"/>
        <v>2238868.14</v>
      </c>
      <c r="F60" s="141">
        <f t="shared" si="6"/>
        <v>3655467.03</v>
      </c>
      <c r="G60" s="141">
        <f t="shared" si="6"/>
        <v>6297933.9399999995</v>
      </c>
      <c r="H60" s="141">
        <f t="shared" si="6"/>
        <v>6297933.9399999995</v>
      </c>
      <c r="I60" s="194">
        <f t="shared" si="6"/>
        <v>6191148.9</v>
      </c>
      <c r="J60" s="120"/>
    </row>
    <row r="61" spans="1:10" ht="15">
      <c r="A61" s="140"/>
      <c r="B61" s="52"/>
      <c r="C61" s="52"/>
      <c r="D61" s="142"/>
      <c r="E61" s="142"/>
      <c r="F61" s="142"/>
      <c r="G61" s="142"/>
      <c r="H61" s="142"/>
      <c r="I61" s="142"/>
      <c r="J61" s="120"/>
    </row>
    <row r="62" spans="1:10" ht="12.75">
      <c r="A62" s="120"/>
      <c r="B62" s="120"/>
      <c r="C62" s="120"/>
      <c r="D62" s="120"/>
      <c r="E62" s="120"/>
      <c r="F62" s="120"/>
      <c r="G62" s="120"/>
      <c r="H62" s="120"/>
      <c r="I62" s="120"/>
      <c r="J62" s="120"/>
    </row>
    <row r="63" spans="1:10" ht="12.75">
      <c r="A63" s="120"/>
      <c r="B63" s="120"/>
      <c r="C63" s="120"/>
      <c r="D63" s="120"/>
      <c r="E63" s="120"/>
      <c r="F63" s="120"/>
      <c r="G63" s="120"/>
      <c r="H63" s="120"/>
      <c r="I63" s="120"/>
      <c r="J63" s="120"/>
    </row>
  </sheetData>
  <sheetProtection password="DEF0" sheet="1" objects="1" scenarios="1"/>
  <mergeCells count="15">
    <mergeCell ref="D2:E3"/>
    <mergeCell ref="D7:D8"/>
    <mergeCell ref="E7:E8"/>
    <mergeCell ref="F7:F8"/>
    <mergeCell ref="F2:F3"/>
    <mergeCell ref="B60:C60"/>
    <mergeCell ref="I2:I3"/>
    <mergeCell ref="B5:I5"/>
    <mergeCell ref="B6:C8"/>
    <mergeCell ref="H6:H8"/>
    <mergeCell ref="B2:C3"/>
    <mergeCell ref="I6:I8"/>
    <mergeCell ref="H2:H3"/>
    <mergeCell ref="G2:G3"/>
    <mergeCell ref="G7:G8"/>
  </mergeCells>
  <printOptions/>
  <pageMargins left="0.7086614173228347" right="0.1968503937007874" top="0.3937007874015748" bottom="0.1968503937007874" header="0.1968503937007874" footer="0.2755905511811024"/>
  <pageSetup horizontalDpi="180" verticalDpi="180" orientation="landscape" paperSize="9" scale="65" r:id="rId3"/>
  <headerFooter alignWithMargins="0">
    <oddHeader>&amp;R
</oddHeader>
  </headerFooter>
  <legacyDrawing r:id="rId2"/>
</worksheet>
</file>

<file path=xl/worksheets/sheet13.xml><?xml version="1.0" encoding="utf-8"?>
<worksheet xmlns="http://schemas.openxmlformats.org/spreadsheetml/2006/main" xmlns:r="http://schemas.openxmlformats.org/officeDocument/2006/relationships">
  <sheetPr codeName="Plan16"/>
  <dimension ref="B2:J53"/>
  <sheetViews>
    <sheetView showGridLines="0" showRowColHeaders="0" zoomScale="88" zoomScaleNormal="88" zoomScalePageLayoutView="0" workbookViewId="0" topLeftCell="A1">
      <selection activeCell="H47" sqref="H47"/>
    </sheetView>
  </sheetViews>
  <sheetFormatPr defaultColWidth="0" defaultRowHeight="12.75"/>
  <cols>
    <col min="1" max="1" width="2.421875" style="58" customWidth="1"/>
    <col min="2" max="2" width="12.7109375" style="58" customWidth="1"/>
    <col min="3" max="3" width="44.7109375" style="58" customWidth="1"/>
    <col min="4" max="9" width="23.7109375" style="58" customWidth="1"/>
    <col min="10" max="10" width="1.7109375" style="58" customWidth="1"/>
    <col min="11" max="16384" width="0" style="58" hidden="1" customWidth="1"/>
  </cols>
  <sheetData>
    <row r="1" ht="7.5" customHeight="1"/>
    <row r="2" spans="2:9" ht="9.75" customHeight="1">
      <c r="B2" s="690" t="s">
        <v>1142</v>
      </c>
      <c r="C2" s="718"/>
      <c r="D2" s="687" t="str">
        <f>COMANDOBLOQUEADO!S19</f>
        <v>CESÁRIO LANGE</v>
      </c>
      <c r="E2" s="724"/>
      <c r="F2" s="688" t="s">
        <v>268</v>
      </c>
      <c r="G2" s="687" t="str">
        <f>COMANDOBLOQUEADO!U6</f>
        <v>4º TRIMESTRE</v>
      </c>
      <c r="H2" s="687" t="str">
        <f>COMANDOBLOQUEADO!Y6</f>
        <v>2009</v>
      </c>
      <c r="I2" s="687"/>
    </row>
    <row r="3" spans="2:9" ht="9.75" customHeight="1">
      <c r="B3" s="690"/>
      <c r="C3" s="718"/>
      <c r="D3" s="724"/>
      <c r="E3" s="724"/>
      <c r="F3" s="688"/>
      <c r="G3" s="687"/>
      <c r="H3" s="687"/>
      <c r="I3" s="687"/>
    </row>
    <row r="4" spans="2:10" ht="7.5" customHeight="1">
      <c r="B4" s="155"/>
      <c r="C4" s="143"/>
      <c r="D4" s="143"/>
      <c r="E4" s="143"/>
      <c r="F4" s="143"/>
      <c r="G4" s="143"/>
      <c r="H4" s="143"/>
      <c r="I4" s="143"/>
      <c r="J4" s="143"/>
    </row>
    <row r="5" spans="2:10" ht="21" customHeight="1">
      <c r="B5" s="660" t="s">
        <v>342</v>
      </c>
      <c r="C5" s="689"/>
      <c r="D5" s="689"/>
      <c r="E5" s="689"/>
      <c r="F5" s="689"/>
      <c r="G5" s="689"/>
      <c r="H5" s="689"/>
      <c r="I5" s="689"/>
      <c r="J5" s="143"/>
    </row>
    <row r="6" spans="2:10" ht="15" customHeight="1" thickBot="1">
      <c r="B6" s="211"/>
      <c r="C6" s="212"/>
      <c r="D6" s="212"/>
      <c r="E6" s="212"/>
      <c r="F6" s="212"/>
      <c r="G6" s="212"/>
      <c r="H6" s="212"/>
      <c r="I6" s="212"/>
      <c r="J6" s="143"/>
    </row>
    <row r="7" spans="2:10" ht="13.5" customHeight="1">
      <c r="B7" s="662" t="s">
        <v>161</v>
      </c>
      <c r="C7" s="719"/>
      <c r="D7" s="123" t="s">
        <v>294</v>
      </c>
      <c r="E7" s="123" t="s">
        <v>295</v>
      </c>
      <c r="F7" s="123" t="s">
        <v>296</v>
      </c>
      <c r="G7" s="123" t="s">
        <v>297</v>
      </c>
      <c r="H7" s="668" t="s">
        <v>1188</v>
      </c>
      <c r="I7" s="679" t="s">
        <v>1189</v>
      </c>
      <c r="J7" s="143"/>
    </row>
    <row r="8" spans="2:10" ht="13.5" customHeight="1">
      <c r="B8" s="720"/>
      <c r="C8" s="721"/>
      <c r="D8" s="673" t="s">
        <v>1190</v>
      </c>
      <c r="E8" s="675" t="s">
        <v>1111</v>
      </c>
      <c r="F8" s="675" t="s">
        <v>1111</v>
      </c>
      <c r="G8" s="675" t="s">
        <v>1111</v>
      </c>
      <c r="H8" s="669"/>
      <c r="I8" s="680"/>
      <c r="J8" s="143"/>
    </row>
    <row r="9" spans="2:10" ht="13.5" customHeight="1" thickBot="1">
      <c r="B9" s="722"/>
      <c r="C9" s="723"/>
      <c r="D9" s="674"/>
      <c r="E9" s="708"/>
      <c r="F9" s="708"/>
      <c r="G9" s="708"/>
      <c r="H9" s="670"/>
      <c r="I9" s="681"/>
      <c r="J9" s="143"/>
    </row>
    <row r="10" spans="2:10" ht="15" customHeight="1" thickBot="1">
      <c r="B10" s="144" t="s">
        <v>921</v>
      </c>
      <c r="C10" s="134" t="s">
        <v>1196</v>
      </c>
      <c r="D10" s="126" t="s">
        <v>192</v>
      </c>
      <c r="E10" s="126" t="s">
        <v>192</v>
      </c>
      <c r="F10" s="126" t="s">
        <v>192</v>
      </c>
      <c r="G10" s="126" t="s">
        <v>192</v>
      </c>
      <c r="H10" s="126" t="s">
        <v>192</v>
      </c>
      <c r="I10" s="127" t="s">
        <v>192</v>
      </c>
      <c r="J10" s="143"/>
    </row>
    <row r="11" spans="2:10" ht="16.5" customHeight="1">
      <c r="B11" s="131" t="s">
        <v>6</v>
      </c>
      <c r="C11" s="67" t="s">
        <v>9</v>
      </c>
      <c r="D11" s="129">
        <v>0</v>
      </c>
      <c r="E11" s="129">
        <v>240064.9</v>
      </c>
      <c r="F11" s="129">
        <v>420534.8</v>
      </c>
      <c r="G11" s="129">
        <v>721872.22</v>
      </c>
      <c r="H11" s="129">
        <f>G11</f>
        <v>721872.22</v>
      </c>
      <c r="I11" s="129">
        <v>721872.22</v>
      </c>
      <c r="J11" s="143"/>
    </row>
    <row r="12" spans="2:10" ht="16.5" customHeight="1" thickBot="1">
      <c r="B12" s="131" t="s">
        <v>7</v>
      </c>
      <c r="C12" s="67" t="s">
        <v>8</v>
      </c>
      <c r="D12" s="129">
        <v>0</v>
      </c>
      <c r="E12" s="129">
        <v>0</v>
      </c>
      <c r="F12" s="129">
        <v>0</v>
      </c>
      <c r="G12" s="129"/>
      <c r="H12" s="129"/>
      <c r="I12" s="129">
        <v>0</v>
      </c>
      <c r="J12" s="143"/>
    </row>
    <row r="13" spans="2:10" ht="15" customHeight="1" thickBot="1">
      <c r="B13" s="137"/>
      <c r="C13" s="125" t="s">
        <v>1102</v>
      </c>
      <c r="D13" s="138">
        <f aca="true" t="shared" si="0" ref="D13:I13">SUM(D11:D12)</f>
        <v>0</v>
      </c>
      <c r="E13" s="138">
        <f t="shared" si="0"/>
        <v>240064.9</v>
      </c>
      <c r="F13" s="138">
        <f t="shared" si="0"/>
        <v>420534.8</v>
      </c>
      <c r="G13" s="138">
        <f t="shared" si="0"/>
        <v>721872.22</v>
      </c>
      <c r="H13" s="138">
        <f t="shared" si="0"/>
        <v>721872.22</v>
      </c>
      <c r="I13" s="139">
        <f t="shared" si="0"/>
        <v>721872.22</v>
      </c>
      <c r="J13" s="143"/>
    </row>
    <row r="14" spans="2:10" ht="15" customHeight="1" thickBot="1">
      <c r="B14" s="144" t="s">
        <v>921</v>
      </c>
      <c r="C14" s="134" t="s">
        <v>1229</v>
      </c>
      <c r="D14" s="126" t="s">
        <v>192</v>
      </c>
      <c r="E14" s="126" t="s">
        <v>192</v>
      </c>
      <c r="F14" s="126" t="s">
        <v>192</v>
      </c>
      <c r="G14" s="126" t="s">
        <v>192</v>
      </c>
      <c r="H14" s="126" t="s">
        <v>192</v>
      </c>
      <c r="I14" s="127" t="s">
        <v>192</v>
      </c>
      <c r="J14" s="143"/>
    </row>
    <row r="15" spans="2:10" ht="16.5" customHeight="1">
      <c r="B15" s="131" t="s">
        <v>10</v>
      </c>
      <c r="C15" s="67" t="s">
        <v>11</v>
      </c>
      <c r="D15" s="129">
        <v>0</v>
      </c>
      <c r="E15" s="129">
        <v>0</v>
      </c>
      <c r="F15" s="129">
        <v>0</v>
      </c>
      <c r="G15" s="129">
        <v>0</v>
      </c>
      <c r="H15" s="129">
        <v>0</v>
      </c>
      <c r="I15" s="129">
        <v>0</v>
      </c>
      <c r="J15" s="143"/>
    </row>
    <row r="16" spans="2:10" ht="16.5" customHeight="1">
      <c r="B16" s="131" t="s">
        <v>6</v>
      </c>
      <c r="C16" s="67" t="s">
        <v>9</v>
      </c>
      <c r="D16" s="129">
        <v>0</v>
      </c>
      <c r="E16" s="129">
        <v>45747.07</v>
      </c>
      <c r="F16" s="129">
        <v>55191.65</v>
      </c>
      <c r="G16" s="129">
        <v>95436.02</v>
      </c>
      <c r="H16" s="129">
        <f>G16</f>
        <v>95436.02</v>
      </c>
      <c r="I16" s="129">
        <v>95436.02</v>
      </c>
      <c r="J16" s="143"/>
    </row>
    <row r="17" spans="2:10" ht="16.5" customHeight="1" thickBot="1">
      <c r="B17" s="131" t="s">
        <v>7</v>
      </c>
      <c r="C17" s="67" t="s">
        <v>8</v>
      </c>
      <c r="D17" s="129">
        <v>0</v>
      </c>
      <c r="E17" s="129">
        <v>0</v>
      </c>
      <c r="F17" s="129">
        <v>0</v>
      </c>
      <c r="G17" s="129">
        <v>0</v>
      </c>
      <c r="H17" s="129">
        <v>0</v>
      </c>
      <c r="I17" s="129">
        <v>0</v>
      </c>
      <c r="J17" s="143"/>
    </row>
    <row r="18" spans="2:10" ht="15" customHeight="1" thickBot="1">
      <c r="B18" s="137"/>
      <c r="C18" s="125" t="s">
        <v>1102</v>
      </c>
      <c r="D18" s="138">
        <f aca="true" t="shared" si="1" ref="D18:I18">SUM(D15:D17)</f>
        <v>0</v>
      </c>
      <c r="E18" s="138">
        <f t="shared" si="1"/>
        <v>45747.07</v>
      </c>
      <c r="F18" s="138">
        <f t="shared" si="1"/>
        <v>55191.65</v>
      </c>
      <c r="G18" s="138">
        <f t="shared" si="1"/>
        <v>95436.02</v>
      </c>
      <c r="H18" s="138">
        <f t="shared" si="1"/>
        <v>95436.02</v>
      </c>
      <c r="I18" s="139">
        <f t="shared" si="1"/>
        <v>95436.02</v>
      </c>
      <c r="J18" s="143"/>
    </row>
    <row r="19" spans="2:10" ht="15" customHeight="1" thickBot="1">
      <c r="B19" s="144" t="s">
        <v>921</v>
      </c>
      <c r="C19" s="125" t="s">
        <v>12</v>
      </c>
      <c r="D19" s="126" t="s">
        <v>192</v>
      </c>
      <c r="E19" s="126" t="s">
        <v>192</v>
      </c>
      <c r="F19" s="126" t="s">
        <v>192</v>
      </c>
      <c r="G19" s="126" t="s">
        <v>192</v>
      </c>
      <c r="H19" s="126" t="s">
        <v>192</v>
      </c>
      <c r="I19" s="150" t="s">
        <v>192</v>
      </c>
      <c r="J19" s="143"/>
    </row>
    <row r="20" spans="2:10" ht="16.5" customHeight="1">
      <c r="B20" s="131" t="s">
        <v>10</v>
      </c>
      <c r="C20" s="67" t="s">
        <v>11</v>
      </c>
      <c r="D20" s="129">
        <v>0</v>
      </c>
      <c r="E20" s="129">
        <v>0</v>
      </c>
      <c r="F20" s="129">
        <v>0</v>
      </c>
      <c r="G20" s="129">
        <v>0</v>
      </c>
      <c r="H20" s="129">
        <v>0</v>
      </c>
      <c r="I20" s="129">
        <v>0</v>
      </c>
      <c r="J20" s="143"/>
    </row>
    <row r="21" spans="2:10" ht="16.5" customHeight="1">
      <c r="B21" s="131" t="s">
        <v>6</v>
      </c>
      <c r="C21" s="67" t="s">
        <v>9</v>
      </c>
      <c r="D21" s="129">
        <v>0</v>
      </c>
      <c r="E21" s="129">
        <v>0</v>
      </c>
      <c r="F21" s="129">
        <v>0</v>
      </c>
      <c r="G21" s="129">
        <v>0</v>
      </c>
      <c r="H21" s="129">
        <v>0</v>
      </c>
      <c r="I21" s="129">
        <v>0</v>
      </c>
      <c r="J21" s="143"/>
    </row>
    <row r="22" spans="2:10" ht="16.5" customHeight="1" thickBot="1">
      <c r="B22" s="131" t="s">
        <v>7</v>
      </c>
      <c r="C22" s="67" t="s">
        <v>8</v>
      </c>
      <c r="D22" s="129">
        <v>0</v>
      </c>
      <c r="E22" s="129">
        <v>0</v>
      </c>
      <c r="F22" s="129">
        <v>0</v>
      </c>
      <c r="G22" s="129">
        <v>0</v>
      </c>
      <c r="H22" s="129">
        <v>0</v>
      </c>
      <c r="I22" s="129">
        <v>0</v>
      </c>
      <c r="J22" s="143"/>
    </row>
    <row r="23" spans="2:10" ht="15" customHeight="1" thickBot="1">
      <c r="B23" s="137"/>
      <c r="C23" s="125" t="s">
        <v>1102</v>
      </c>
      <c r="D23" s="138">
        <f aca="true" t="shared" si="2" ref="D23:I23">SUM(D20:D22)</f>
        <v>0</v>
      </c>
      <c r="E23" s="138">
        <f t="shared" si="2"/>
        <v>0</v>
      </c>
      <c r="F23" s="138">
        <f t="shared" si="2"/>
        <v>0</v>
      </c>
      <c r="G23" s="138">
        <f t="shared" si="2"/>
        <v>0</v>
      </c>
      <c r="H23" s="138">
        <f t="shared" si="2"/>
        <v>0</v>
      </c>
      <c r="I23" s="139">
        <f t="shared" si="2"/>
        <v>0</v>
      </c>
      <c r="J23" s="143"/>
    </row>
    <row r="24" spans="2:10" ht="15" customHeight="1" thickBot="1">
      <c r="B24" s="144" t="s">
        <v>921</v>
      </c>
      <c r="C24" s="125" t="s">
        <v>13</v>
      </c>
      <c r="D24" s="126" t="s">
        <v>192</v>
      </c>
      <c r="E24" s="126" t="s">
        <v>192</v>
      </c>
      <c r="F24" s="126" t="s">
        <v>192</v>
      </c>
      <c r="G24" s="126" t="s">
        <v>192</v>
      </c>
      <c r="H24" s="126" t="s">
        <v>192</v>
      </c>
      <c r="I24" s="150" t="s">
        <v>192</v>
      </c>
      <c r="J24" s="143"/>
    </row>
    <row r="25" spans="2:10" ht="16.5" customHeight="1">
      <c r="B25" s="131" t="s">
        <v>10</v>
      </c>
      <c r="C25" s="67" t="s">
        <v>11</v>
      </c>
      <c r="D25" s="129">
        <v>0</v>
      </c>
      <c r="E25" s="129">
        <v>0</v>
      </c>
      <c r="F25" s="129">
        <v>0</v>
      </c>
      <c r="G25" s="129">
        <v>0</v>
      </c>
      <c r="H25" s="129">
        <v>0</v>
      </c>
      <c r="I25" s="129">
        <v>0</v>
      </c>
      <c r="J25" s="143"/>
    </row>
    <row r="26" spans="2:10" ht="16.5" customHeight="1">
      <c r="B26" s="131" t="s">
        <v>6</v>
      </c>
      <c r="C26" s="67" t="s">
        <v>9</v>
      </c>
      <c r="D26" s="129">
        <v>0</v>
      </c>
      <c r="E26" s="129">
        <v>0</v>
      </c>
      <c r="F26" s="129">
        <v>0</v>
      </c>
      <c r="G26" s="129">
        <v>0</v>
      </c>
      <c r="H26" s="129">
        <v>0</v>
      </c>
      <c r="I26" s="129">
        <v>0</v>
      </c>
      <c r="J26" s="143"/>
    </row>
    <row r="27" spans="2:10" ht="16.5" customHeight="1" thickBot="1">
      <c r="B27" s="131" t="s">
        <v>7</v>
      </c>
      <c r="C27" s="67" t="s">
        <v>8</v>
      </c>
      <c r="D27" s="129">
        <v>0</v>
      </c>
      <c r="E27" s="129">
        <v>0</v>
      </c>
      <c r="F27" s="129">
        <v>0</v>
      </c>
      <c r="G27" s="129">
        <v>0</v>
      </c>
      <c r="H27" s="129">
        <v>0</v>
      </c>
      <c r="I27" s="129">
        <v>0</v>
      </c>
      <c r="J27" s="143"/>
    </row>
    <row r="28" spans="2:10" ht="15" customHeight="1" thickBot="1">
      <c r="B28" s="151"/>
      <c r="C28" s="152" t="s">
        <v>1102</v>
      </c>
      <c r="D28" s="136">
        <f aca="true" t="shared" si="3" ref="D28:I28">SUM(D25:D27)</f>
        <v>0</v>
      </c>
      <c r="E28" s="136">
        <f t="shared" si="3"/>
        <v>0</v>
      </c>
      <c r="F28" s="136">
        <f t="shared" si="3"/>
        <v>0</v>
      </c>
      <c r="G28" s="136">
        <f t="shared" si="3"/>
        <v>0</v>
      </c>
      <c r="H28" s="136">
        <f t="shared" si="3"/>
        <v>0</v>
      </c>
      <c r="I28" s="193">
        <f t="shared" si="3"/>
        <v>0</v>
      </c>
      <c r="J28" s="143"/>
    </row>
    <row r="29" spans="2:10" ht="15" customHeight="1" thickBot="1">
      <c r="B29" s="144" t="s">
        <v>921</v>
      </c>
      <c r="C29" s="125" t="s">
        <v>769</v>
      </c>
      <c r="D29" s="126" t="s">
        <v>192</v>
      </c>
      <c r="E29" s="126" t="s">
        <v>192</v>
      </c>
      <c r="F29" s="126" t="s">
        <v>192</v>
      </c>
      <c r="G29" s="126" t="s">
        <v>192</v>
      </c>
      <c r="H29" s="126" t="s">
        <v>192</v>
      </c>
      <c r="I29" s="150" t="s">
        <v>192</v>
      </c>
      <c r="J29" s="143"/>
    </row>
    <row r="30" spans="2:10" ht="16.5" customHeight="1">
      <c r="B30" s="131" t="s">
        <v>10</v>
      </c>
      <c r="C30" s="67" t="s">
        <v>11</v>
      </c>
      <c r="D30" s="129">
        <v>0</v>
      </c>
      <c r="E30" s="129">
        <v>0</v>
      </c>
      <c r="F30" s="129">
        <v>0</v>
      </c>
      <c r="G30" s="129">
        <v>0</v>
      </c>
      <c r="H30" s="129">
        <v>0</v>
      </c>
      <c r="I30" s="129">
        <v>0</v>
      </c>
      <c r="J30" s="143"/>
    </row>
    <row r="31" spans="2:10" ht="16.5" customHeight="1">
      <c r="B31" s="131" t="s">
        <v>6</v>
      </c>
      <c r="C31" s="67" t="s">
        <v>9</v>
      </c>
      <c r="D31" s="129">
        <v>8961.59</v>
      </c>
      <c r="E31" s="129">
        <v>23083.39</v>
      </c>
      <c r="F31" s="129">
        <v>50232.23</v>
      </c>
      <c r="G31" s="129">
        <v>144370.12</v>
      </c>
      <c r="H31" s="129">
        <v>144370.12</v>
      </c>
      <c r="I31" s="129">
        <v>144370.12</v>
      </c>
      <c r="J31" s="143"/>
    </row>
    <row r="32" spans="2:10" ht="16.5" customHeight="1" thickBot="1">
      <c r="B32" s="131" t="s">
        <v>7</v>
      </c>
      <c r="C32" s="67" t="s">
        <v>8</v>
      </c>
      <c r="D32" s="129">
        <v>0</v>
      </c>
      <c r="E32" s="129">
        <v>0</v>
      </c>
      <c r="F32" s="129">
        <v>0</v>
      </c>
      <c r="G32" s="129"/>
      <c r="H32" s="129">
        <v>0</v>
      </c>
      <c r="I32" s="129"/>
      <c r="J32" s="143"/>
    </row>
    <row r="33" spans="2:10" ht="15" customHeight="1" thickBot="1">
      <c r="B33" s="151"/>
      <c r="C33" s="152" t="s">
        <v>1102</v>
      </c>
      <c r="D33" s="136">
        <f aca="true" t="shared" si="4" ref="D33:I33">SUM(D30:D32)</f>
        <v>8961.59</v>
      </c>
      <c r="E33" s="136">
        <f t="shared" si="4"/>
        <v>23083.39</v>
      </c>
      <c r="F33" s="136">
        <f t="shared" si="4"/>
        <v>50232.23</v>
      </c>
      <c r="G33" s="136">
        <f t="shared" si="4"/>
        <v>144370.12</v>
      </c>
      <c r="H33" s="136">
        <f t="shared" si="4"/>
        <v>144370.12</v>
      </c>
      <c r="I33" s="193">
        <f t="shared" si="4"/>
        <v>144370.12</v>
      </c>
      <c r="J33" s="143"/>
    </row>
    <row r="34" spans="2:10" ht="19.5" customHeight="1" thickBot="1">
      <c r="B34" s="700" t="s">
        <v>14</v>
      </c>
      <c r="C34" s="701"/>
      <c r="D34" s="141">
        <f aca="true" t="shared" si="5" ref="D34:I34">D13+D18+D23+D28+D33</f>
        <v>8961.59</v>
      </c>
      <c r="E34" s="141">
        <f t="shared" si="5"/>
        <v>308895.36</v>
      </c>
      <c r="F34" s="141">
        <f t="shared" si="5"/>
        <v>525958.68</v>
      </c>
      <c r="G34" s="141">
        <f t="shared" si="5"/>
        <v>961678.36</v>
      </c>
      <c r="H34" s="141">
        <f t="shared" si="5"/>
        <v>961678.36</v>
      </c>
      <c r="I34" s="141">
        <f t="shared" si="5"/>
        <v>961678.36</v>
      </c>
      <c r="J34" s="143"/>
    </row>
    <row r="35" ht="15" customHeight="1" thickBot="1"/>
    <row r="36" spans="2:10" ht="13.5" customHeight="1">
      <c r="B36" s="662" t="s">
        <v>1204</v>
      </c>
      <c r="C36" s="709"/>
      <c r="D36" s="159" t="s">
        <v>294</v>
      </c>
      <c r="E36" s="123" t="s">
        <v>295</v>
      </c>
      <c r="F36" s="123" t="s">
        <v>296</v>
      </c>
      <c r="G36" s="123" t="s">
        <v>297</v>
      </c>
      <c r="H36" s="668" t="s">
        <v>1188</v>
      </c>
      <c r="I36" s="679" t="s">
        <v>1189</v>
      </c>
      <c r="J36" s="143"/>
    </row>
    <row r="37" spans="2:10" ht="13.5" customHeight="1">
      <c r="B37" s="710"/>
      <c r="C37" s="711"/>
      <c r="D37" s="714" t="s">
        <v>1190</v>
      </c>
      <c r="E37" s="675" t="s">
        <v>1111</v>
      </c>
      <c r="F37" s="675" t="s">
        <v>1111</v>
      </c>
      <c r="G37" s="675" t="s">
        <v>1111</v>
      </c>
      <c r="H37" s="669"/>
      <c r="I37" s="680"/>
      <c r="J37" s="143"/>
    </row>
    <row r="38" spans="2:10" ht="13.5" customHeight="1" thickBot="1">
      <c r="B38" s="710"/>
      <c r="C38" s="711"/>
      <c r="D38" s="716"/>
      <c r="E38" s="717"/>
      <c r="F38" s="717"/>
      <c r="G38" s="717"/>
      <c r="H38" s="670"/>
      <c r="I38" s="681"/>
      <c r="J38" s="143"/>
    </row>
    <row r="39" spans="2:10" ht="13.5" customHeight="1" thickBot="1">
      <c r="B39" s="712" t="s">
        <v>1205</v>
      </c>
      <c r="C39" s="713"/>
      <c r="D39" s="126" t="s">
        <v>192</v>
      </c>
      <c r="E39" s="126" t="s">
        <v>192</v>
      </c>
      <c r="F39" s="126" t="s">
        <v>192</v>
      </c>
      <c r="G39" s="126" t="s">
        <v>192</v>
      </c>
      <c r="H39" s="126" t="s">
        <v>192</v>
      </c>
      <c r="I39" s="127" t="s">
        <v>192</v>
      </c>
      <c r="J39" s="143"/>
    </row>
    <row r="40" spans="2:10" ht="16.5" customHeight="1">
      <c r="B40" s="131" t="s">
        <v>10</v>
      </c>
      <c r="C40" s="67" t="s">
        <v>11</v>
      </c>
      <c r="D40" s="129">
        <v>0</v>
      </c>
      <c r="E40" s="129">
        <v>0</v>
      </c>
      <c r="F40" s="129">
        <v>0</v>
      </c>
      <c r="G40" s="129">
        <v>0</v>
      </c>
      <c r="H40" s="129">
        <v>0</v>
      </c>
      <c r="I40" s="129">
        <v>0</v>
      </c>
      <c r="J40" s="143"/>
    </row>
    <row r="41" spans="2:10" ht="16.5" customHeight="1">
      <c r="B41" s="131" t="s">
        <v>6</v>
      </c>
      <c r="C41" s="67" t="s">
        <v>9</v>
      </c>
      <c r="D41" s="129">
        <v>0</v>
      </c>
      <c r="E41" s="129">
        <v>0</v>
      </c>
      <c r="F41" s="129">
        <v>0</v>
      </c>
      <c r="G41" s="129">
        <v>0</v>
      </c>
      <c r="H41" s="129">
        <v>0</v>
      </c>
      <c r="I41" s="129">
        <v>0</v>
      </c>
      <c r="J41" s="143"/>
    </row>
    <row r="42" spans="2:10" ht="16.5" customHeight="1" thickBot="1">
      <c r="B42" s="131" t="s">
        <v>7</v>
      </c>
      <c r="C42" s="67" t="s">
        <v>8</v>
      </c>
      <c r="D42" s="129">
        <v>0</v>
      </c>
      <c r="E42" s="129">
        <v>0</v>
      </c>
      <c r="F42" s="129">
        <v>0</v>
      </c>
      <c r="G42" s="129">
        <v>0</v>
      </c>
      <c r="H42" s="129">
        <v>0</v>
      </c>
      <c r="I42" s="129">
        <v>0</v>
      </c>
      <c r="J42" s="143"/>
    </row>
    <row r="43" spans="2:10" ht="19.5" customHeight="1" thickBot="1">
      <c r="B43" s="700" t="s">
        <v>1207</v>
      </c>
      <c r="C43" s="701"/>
      <c r="D43" s="141">
        <f aca="true" t="shared" si="6" ref="D43:I43">SUM(D40:D42)</f>
        <v>0</v>
      </c>
      <c r="E43" s="141">
        <f t="shared" si="6"/>
        <v>0</v>
      </c>
      <c r="F43" s="141">
        <f t="shared" si="6"/>
        <v>0</v>
      </c>
      <c r="G43" s="141">
        <f t="shared" si="6"/>
        <v>0</v>
      </c>
      <c r="H43" s="141">
        <f t="shared" si="6"/>
        <v>0</v>
      </c>
      <c r="I43" s="194">
        <f t="shared" si="6"/>
        <v>0</v>
      </c>
      <c r="J43" s="143"/>
    </row>
    <row r="44" spans="2:10" s="161" customFormat="1" ht="15" customHeight="1" thickBot="1">
      <c r="B44" s="54"/>
      <c r="C44" s="242"/>
      <c r="D44" s="153"/>
      <c r="E44" s="153"/>
      <c r="F44" s="153"/>
      <c r="G44" s="153"/>
      <c r="H44" s="153"/>
      <c r="I44" s="153"/>
      <c r="J44" s="143"/>
    </row>
    <row r="45" spans="2:10" ht="13.5" customHeight="1">
      <c r="B45" s="662" t="s">
        <v>1206</v>
      </c>
      <c r="C45" s="702"/>
      <c r="D45" s="159" t="s">
        <v>294</v>
      </c>
      <c r="E45" s="123" t="s">
        <v>295</v>
      </c>
      <c r="F45" s="123" t="s">
        <v>296</v>
      </c>
      <c r="G45" s="123" t="s">
        <v>297</v>
      </c>
      <c r="H45" s="668" t="s">
        <v>1188</v>
      </c>
      <c r="I45" s="679" t="s">
        <v>1189</v>
      </c>
      <c r="J45" s="143"/>
    </row>
    <row r="46" spans="2:10" ht="13.5" customHeight="1">
      <c r="B46" s="703"/>
      <c r="C46" s="704"/>
      <c r="D46" s="714" t="s">
        <v>1190</v>
      </c>
      <c r="E46" s="675" t="s">
        <v>1111</v>
      </c>
      <c r="F46" s="675" t="s">
        <v>1111</v>
      </c>
      <c r="G46" s="675" t="s">
        <v>1111</v>
      </c>
      <c r="H46" s="669"/>
      <c r="I46" s="680"/>
      <c r="J46" s="143"/>
    </row>
    <row r="47" spans="2:10" ht="13.5" customHeight="1" thickBot="1">
      <c r="B47" s="705"/>
      <c r="C47" s="704"/>
      <c r="D47" s="715"/>
      <c r="E47" s="708"/>
      <c r="F47" s="708"/>
      <c r="G47" s="708"/>
      <c r="H47" s="670"/>
      <c r="I47" s="681"/>
      <c r="J47" s="143"/>
    </row>
    <row r="48" spans="2:10" ht="13.5" customHeight="1" thickBot="1">
      <c r="B48" s="706"/>
      <c r="C48" s="707"/>
      <c r="D48" s="162" t="s">
        <v>192</v>
      </c>
      <c r="E48" s="126" t="s">
        <v>192</v>
      </c>
      <c r="F48" s="126" t="s">
        <v>192</v>
      </c>
      <c r="G48" s="126" t="s">
        <v>192</v>
      </c>
      <c r="H48" s="126" t="s">
        <v>192</v>
      </c>
      <c r="I48" s="127" t="s">
        <v>192</v>
      </c>
      <c r="J48" s="143"/>
    </row>
    <row r="49" spans="2:10" ht="16.5" customHeight="1">
      <c r="B49" s="128" t="s">
        <v>10</v>
      </c>
      <c r="C49" s="67" t="s">
        <v>11</v>
      </c>
      <c r="D49" s="129">
        <v>0</v>
      </c>
      <c r="E49" s="129">
        <v>0</v>
      </c>
      <c r="F49" s="129">
        <v>0</v>
      </c>
      <c r="G49" s="129">
        <v>0</v>
      </c>
      <c r="H49" s="129">
        <v>0</v>
      </c>
      <c r="I49" s="129">
        <v>0</v>
      </c>
      <c r="J49" s="143"/>
    </row>
    <row r="50" spans="2:10" ht="16.5" customHeight="1">
      <c r="B50" s="131" t="s">
        <v>6</v>
      </c>
      <c r="C50" s="67" t="s">
        <v>9</v>
      </c>
      <c r="D50" s="129">
        <v>0</v>
      </c>
      <c r="E50" s="129">
        <v>0</v>
      </c>
      <c r="F50" s="129">
        <v>0</v>
      </c>
      <c r="G50" s="129">
        <v>0</v>
      </c>
      <c r="H50" s="129">
        <v>0</v>
      </c>
      <c r="I50" s="129">
        <v>0</v>
      </c>
      <c r="J50" s="143"/>
    </row>
    <row r="51" spans="2:10" ht="16.5" customHeight="1" thickBot="1">
      <c r="B51" s="131" t="s">
        <v>7</v>
      </c>
      <c r="C51" s="67" t="s">
        <v>8</v>
      </c>
      <c r="D51" s="129">
        <v>0</v>
      </c>
      <c r="E51" s="129">
        <v>0</v>
      </c>
      <c r="F51" s="129">
        <v>0</v>
      </c>
      <c r="G51" s="129">
        <v>0</v>
      </c>
      <c r="H51" s="129">
        <v>0</v>
      </c>
      <c r="I51" s="129">
        <v>0</v>
      </c>
      <c r="J51" s="143"/>
    </row>
    <row r="52" spans="2:10" ht="19.5" customHeight="1" thickBot="1">
      <c r="B52" s="700" t="s">
        <v>1208</v>
      </c>
      <c r="C52" s="701"/>
      <c r="D52" s="141">
        <f aca="true" t="shared" si="7" ref="D52:I52">SUM(D49:D51)</f>
        <v>0</v>
      </c>
      <c r="E52" s="141">
        <f t="shared" si="7"/>
        <v>0</v>
      </c>
      <c r="F52" s="141">
        <f t="shared" si="7"/>
        <v>0</v>
      </c>
      <c r="G52" s="141">
        <f t="shared" si="7"/>
        <v>0</v>
      </c>
      <c r="H52" s="141">
        <f t="shared" si="7"/>
        <v>0</v>
      </c>
      <c r="I52" s="194">
        <f t="shared" si="7"/>
        <v>0</v>
      </c>
      <c r="J52" s="143"/>
    </row>
    <row r="53" spans="2:10" s="161" customFormat="1" ht="13.5" customHeight="1">
      <c r="B53" s="169"/>
      <c r="C53" s="67"/>
      <c r="D53" s="142"/>
      <c r="E53" s="142"/>
      <c r="F53" s="142"/>
      <c r="G53" s="142"/>
      <c r="H53" s="142"/>
      <c r="I53" s="142"/>
      <c r="J53" s="143"/>
    </row>
  </sheetData>
  <sheetProtection password="DEF0" sheet="1" objects="1" scenarios="1"/>
  <mergeCells count="32">
    <mergeCell ref="H2:H3"/>
    <mergeCell ref="B2:C3"/>
    <mergeCell ref="B5:I5"/>
    <mergeCell ref="I7:I9"/>
    <mergeCell ref="E8:E9"/>
    <mergeCell ref="B7:C9"/>
    <mergeCell ref="D2:E3"/>
    <mergeCell ref="F2:F3"/>
    <mergeCell ref="G2:G3"/>
    <mergeCell ref="I2:I3"/>
    <mergeCell ref="B34:C34"/>
    <mergeCell ref="I45:I47"/>
    <mergeCell ref="D46:D47"/>
    <mergeCell ref="E46:E47"/>
    <mergeCell ref="I36:I38"/>
    <mergeCell ref="D37:D38"/>
    <mergeCell ref="E37:E38"/>
    <mergeCell ref="F37:F38"/>
    <mergeCell ref="G37:G38"/>
    <mergeCell ref="D8:D9"/>
    <mergeCell ref="F8:F9"/>
    <mergeCell ref="G8:G9"/>
    <mergeCell ref="H7:H9"/>
    <mergeCell ref="B52:C52"/>
    <mergeCell ref="B45:C48"/>
    <mergeCell ref="H45:H47"/>
    <mergeCell ref="H36:H38"/>
    <mergeCell ref="F46:F47"/>
    <mergeCell ref="G46:G47"/>
    <mergeCell ref="B36:C38"/>
    <mergeCell ref="B39:C39"/>
    <mergeCell ref="B43:C43"/>
  </mergeCells>
  <printOptions horizontalCentered="1"/>
  <pageMargins left="0.4724409448818898" right="0.1968503937007874" top="0.5905511811023623" bottom="0.3937007874015748" header="0.2362204724409449" footer="0.1968503937007874"/>
  <pageSetup horizontalDpi="180" verticalDpi="180" orientation="landscape" paperSize="9" scale="65" r:id="rId3"/>
  <headerFooter alignWithMargins="0">
    <oddHeader>&amp;C&amp;8
    &amp;R
&amp;"Times New Roman,Normal"
&amp;"Arial,Normal"
</oddHeader>
  </headerFooter>
  <legacyDrawing r:id="rId2"/>
</worksheet>
</file>

<file path=xl/worksheets/sheet14.xml><?xml version="1.0" encoding="utf-8"?>
<worksheet xmlns="http://schemas.openxmlformats.org/spreadsheetml/2006/main" xmlns:r="http://schemas.openxmlformats.org/officeDocument/2006/relationships">
  <sheetPr codeName="Plan22"/>
  <dimension ref="A1:M295"/>
  <sheetViews>
    <sheetView showGridLines="0" showRowColHeaders="0" zoomScale="75" zoomScaleNormal="75" zoomScalePageLayoutView="0" workbookViewId="0" topLeftCell="A206">
      <selection activeCell="A225" sqref="A225:IV268"/>
    </sheetView>
  </sheetViews>
  <sheetFormatPr defaultColWidth="0" defaultRowHeight="12.75"/>
  <cols>
    <col min="1" max="1" width="0.5625" style="58" customWidth="1"/>
    <col min="2" max="2" width="17.421875" style="58" customWidth="1"/>
    <col min="3" max="3" width="21.421875" style="58" customWidth="1"/>
    <col min="4" max="4" width="44.00390625" style="58" customWidth="1"/>
    <col min="5" max="8" width="30.7109375" style="58" customWidth="1"/>
    <col min="9" max="9" width="3.57421875" style="58" customWidth="1"/>
    <col min="10" max="16384" width="0" style="58" hidden="1" customWidth="1"/>
  </cols>
  <sheetData>
    <row r="1" spans="1:9" ht="0.75" customHeight="1">
      <c r="A1" s="119"/>
      <c r="B1" s="119"/>
      <c r="C1" s="120"/>
      <c r="D1" s="120"/>
      <c r="E1" s="120"/>
      <c r="F1" s="120"/>
      <c r="G1" s="120"/>
      <c r="H1" s="120"/>
      <c r="I1" s="120"/>
    </row>
    <row r="2" spans="1:9" ht="12.75" customHeight="1">
      <c r="A2" s="119"/>
      <c r="B2" s="677" t="s">
        <v>112</v>
      </c>
      <c r="C2" s="740"/>
      <c r="D2" s="744" t="str">
        <f>COMANDOBLOQUEADO!S19</f>
        <v>CESÁRIO LANGE</v>
      </c>
      <c r="E2" s="572"/>
      <c r="F2" s="685" t="s">
        <v>268</v>
      </c>
      <c r="G2" s="682" t="str">
        <f>COMANDOBLOQUEADO!U6</f>
        <v>4º TRIMESTRE</v>
      </c>
      <c r="H2" s="682" t="str">
        <f>COMANDOBLOQUEADO!Y6</f>
        <v>2009</v>
      </c>
      <c r="I2" s="120"/>
    </row>
    <row r="3" spans="1:9" ht="12.75" customHeight="1">
      <c r="A3" s="119"/>
      <c r="B3" s="677"/>
      <c r="C3" s="740"/>
      <c r="D3" s="572"/>
      <c r="E3" s="572"/>
      <c r="F3" s="683"/>
      <c r="G3" s="682"/>
      <c r="H3" s="682"/>
      <c r="I3" s="120"/>
    </row>
    <row r="4" spans="1:9" ht="19.5" customHeight="1">
      <c r="A4" s="120"/>
      <c r="B4" s="120"/>
      <c r="C4" s="154"/>
      <c r="D4" s="57"/>
      <c r="E4" s="57"/>
      <c r="F4" s="57"/>
      <c r="G4" s="57"/>
      <c r="H4" s="57"/>
      <c r="I4" s="120"/>
    </row>
    <row r="5" spans="1:13" ht="21" customHeight="1">
      <c r="A5" s="140"/>
      <c r="B5" s="140"/>
      <c r="C5" s="741" t="s">
        <v>1245</v>
      </c>
      <c r="D5" s="742"/>
      <c r="E5" s="742"/>
      <c r="F5" s="742"/>
      <c r="G5" s="742"/>
      <c r="H5" s="742"/>
      <c r="I5" s="742"/>
      <c r="J5" s="742"/>
      <c r="K5" s="743"/>
      <c r="L5" s="743"/>
      <c r="M5" s="743"/>
    </row>
    <row r="6" spans="1:13" ht="19.5" customHeight="1" thickBot="1">
      <c r="A6" s="140"/>
      <c r="B6" s="140"/>
      <c r="C6" s="178"/>
      <c r="D6" s="179"/>
      <c r="E6" s="179"/>
      <c r="F6" s="179"/>
      <c r="G6" s="179"/>
      <c r="H6" s="179"/>
      <c r="I6" s="179"/>
      <c r="J6" s="179"/>
      <c r="K6" s="186"/>
      <c r="L6" s="186"/>
      <c r="M6" s="186"/>
    </row>
    <row r="7" spans="1:9" ht="16.5" customHeight="1">
      <c r="A7" s="122"/>
      <c r="B7" s="745" t="s">
        <v>294</v>
      </c>
      <c r="C7" s="746"/>
      <c r="D7" s="747"/>
      <c r="E7" s="189" t="s">
        <v>414</v>
      </c>
      <c r="F7" s="668" t="s">
        <v>783</v>
      </c>
      <c r="G7" s="728" t="s">
        <v>784</v>
      </c>
      <c r="H7" s="679" t="s">
        <v>767</v>
      </c>
      <c r="I7" s="120"/>
    </row>
    <row r="8" spans="1:9" ht="16.5" customHeight="1" thickBot="1">
      <c r="A8" s="122"/>
      <c r="B8" s="748"/>
      <c r="C8" s="749"/>
      <c r="D8" s="750"/>
      <c r="E8" s="172" t="s">
        <v>413</v>
      </c>
      <c r="F8" s="751"/>
      <c r="G8" s="729"/>
      <c r="H8" s="739"/>
      <c r="I8" s="120"/>
    </row>
    <row r="9" spans="1:8" s="176" customFormat="1" ht="22.5" customHeight="1" thickBot="1">
      <c r="A9" s="64"/>
      <c r="B9" s="236" t="s">
        <v>780</v>
      </c>
      <c r="C9" s="236" t="s">
        <v>785</v>
      </c>
      <c r="D9" s="237" t="s">
        <v>782</v>
      </c>
      <c r="E9" s="187">
        <v>0.25</v>
      </c>
      <c r="F9" s="188" t="str">
        <f>IF(COMANDOBLOQUEADO!Y6="2007","8,34%",IF(COMANDOBLOQUEADO!Y6="2008","6,67%","5%"))</f>
        <v>5%</v>
      </c>
      <c r="G9" s="188" t="str">
        <f>IF(COMANDOBLOQUEADO!Y6="2007","18,34%",IF(COMANDOBLOQUEADO!Y6="2008","11,67%","5%"))</f>
        <v>5%</v>
      </c>
      <c r="H9" s="185"/>
    </row>
    <row r="10" spans="1:8" s="176" customFormat="1" ht="16.5" customHeight="1">
      <c r="A10" s="64"/>
      <c r="B10" s="725" t="s">
        <v>1230</v>
      </c>
      <c r="C10" s="725" t="s">
        <v>777</v>
      </c>
      <c r="D10" s="183" t="s">
        <v>415</v>
      </c>
      <c r="E10" s="170">
        <v>1854.23</v>
      </c>
      <c r="F10" s="170">
        <v>17761.02</v>
      </c>
      <c r="G10" s="170">
        <v>2230.59</v>
      </c>
      <c r="H10" s="238">
        <f>E10+F10+G10</f>
        <v>21845.84</v>
      </c>
    </row>
    <row r="11" spans="1:8" s="176" customFormat="1" ht="16.5" customHeight="1" thickBot="1">
      <c r="A11" s="64"/>
      <c r="B11" s="726"/>
      <c r="C11" s="737"/>
      <c r="D11" s="184" t="s">
        <v>3</v>
      </c>
      <c r="E11" s="174">
        <v>1854.23</v>
      </c>
      <c r="F11" s="174">
        <v>17761.02</v>
      </c>
      <c r="G11" s="174">
        <v>2230.59</v>
      </c>
      <c r="H11" s="175">
        <f>E11+F11+G11</f>
        <v>21845.84</v>
      </c>
    </row>
    <row r="12" spans="1:8" s="176" customFormat="1" ht="16.5" customHeight="1" thickBot="1">
      <c r="A12" s="64"/>
      <c r="B12" s="726"/>
      <c r="C12" s="738"/>
      <c r="D12" s="124" t="s">
        <v>1125</v>
      </c>
      <c r="E12" s="76">
        <f>E10-E11</f>
        <v>0</v>
      </c>
      <c r="F12" s="76">
        <f>F10-F11</f>
        <v>0</v>
      </c>
      <c r="G12" s="76">
        <f>G10-G11</f>
        <v>0</v>
      </c>
      <c r="H12" s="164">
        <f>H10-H11</f>
        <v>0</v>
      </c>
    </row>
    <row r="13" spans="1:8" s="176" customFormat="1" ht="16.5" customHeight="1">
      <c r="A13" s="64"/>
      <c r="B13" s="726"/>
      <c r="C13" s="725" t="s">
        <v>778</v>
      </c>
      <c r="D13" s="183" t="s">
        <v>416</v>
      </c>
      <c r="E13" s="170">
        <v>6844.22</v>
      </c>
      <c r="F13" s="170">
        <v>16902.44</v>
      </c>
      <c r="G13" s="170">
        <v>8796.14</v>
      </c>
      <c r="H13" s="238">
        <f>E13+F13+G13</f>
        <v>32542.8</v>
      </c>
    </row>
    <row r="14" spans="1:8" s="176" customFormat="1" ht="16.5" customHeight="1" thickBot="1">
      <c r="A14" s="64"/>
      <c r="B14" s="726"/>
      <c r="C14" s="726"/>
      <c r="D14" s="184" t="s">
        <v>1027</v>
      </c>
      <c r="E14" s="174">
        <v>6844.22</v>
      </c>
      <c r="F14" s="174">
        <v>16902.44</v>
      </c>
      <c r="G14" s="174">
        <v>8796.14</v>
      </c>
      <c r="H14" s="175">
        <f>E14+F14+G14</f>
        <v>32542.8</v>
      </c>
    </row>
    <row r="15" spans="1:8" s="176" customFormat="1" ht="16.5" customHeight="1" thickBot="1">
      <c r="A15" s="64"/>
      <c r="B15" s="726"/>
      <c r="C15" s="727"/>
      <c r="D15" s="124" t="s">
        <v>1125</v>
      </c>
      <c r="E15" s="76">
        <f>E13-E14</f>
        <v>0</v>
      </c>
      <c r="F15" s="76">
        <f>F13-F14</f>
        <v>0</v>
      </c>
      <c r="G15" s="76">
        <f>G13-G14</f>
        <v>0</v>
      </c>
      <c r="H15" s="164">
        <f>H13-H14</f>
        <v>0</v>
      </c>
    </row>
    <row r="16" spans="2:9" s="176" customFormat="1" ht="16.5" customHeight="1">
      <c r="B16" s="726"/>
      <c r="C16" s="725" t="s">
        <v>779</v>
      </c>
      <c r="D16" s="183" t="s">
        <v>417</v>
      </c>
      <c r="E16" s="170">
        <v>9353.61</v>
      </c>
      <c r="F16" s="170">
        <v>13259.98</v>
      </c>
      <c r="G16" s="170">
        <v>3064.08</v>
      </c>
      <c r="H16" s="238">
        <f>E16+F16+G16</f>
        <v>25677.67</v>
      </c>
      <c r="I16" s="177"/>
    </row>
    <row r="17" spans="2:9" s="176" customFormat="1" ht="16.5" customHeight="1" thickBot="1">
      <c r="B17" s="726"/>
      <c r="C17" s="726"/>
      <c r="D17" s="184" t="s">
        <v>1028</v>
      </c>
      <c r="E17" s="174">
        <v>9353.61</v>
      </c>
      <c r="F17" s="174">
        <v>13259.98</v>
      </c>
      <c r="G17" s="174">
        <v>3064.08</v>
      </c>
      <c r="H17" s="175">
        <f>E17+F17+G17</f>
        <v>25677.67</v>
      </c>
      <c r="I17" s="177"/>
    </row>
    <row r="18" spans="2:9" s="176" customFormat="1" ht="16.5" customHeight="1" thickBot="1">
      <c r="B18" s="727"/>
      <c r="C18" s="727"/>
      <c r="D18" s="124" t="s">
        <v>1125</v>
      </c>
      <c r="E18" s="76">
        <f>E16-E17</f>
        <v>0</v>
      </c>
      <c r="F18" s="76">
        <f>F16-F17</f>
        <v>0</v>
      </c>
      <c r="G18" s="76">
        <f>G16-G17</f>
        <v>0</v>
      </c>
      <c r="H18" s="164">
        <f>H16-H17</f>
        <v>0</v>
      </c>
      <c r="I18" s="177"/>
    </row>
    <row r="19" spans="1:8" s="176" customFormat="1" ht="22.5" customHeight="1" thickBot="1">
      <c r="A19" s="64"/>
      <c r="B19" s="239" t="s">
        <v>780</v>
      </c>
      <c r="C19" s="239" t="s">
        <v>781</v>
      </c>
      <c r="D19" s="240" t="s">
        <v>782</v>
      </c>
      <c r="E19" s="182">
        <v>0.25</v>
      </c>
      <c r="F19" s="188" t="str">
        <f>IF(COMANDOBLOQUEADO!Y6="2007","8,34%",IF(COMANDOBLOQUEADO!Y6="2008","6,67%","5%"))</f>
        <v>5%</v>
      </c>
      <c r="G19" s="188" t="str">
        <f>IF(COMANDOBLOQUEADO!Y6="2007","18,34%",IF(COMANDOBLOQUEADO!Y6="2008","11,67%","5%"))</f>
        <v>5%</v>
      </c>
      <c r="H19" s="185"/>
    </row>
    <row r="20" spans="1:8" s="176" customFormat="1" ht="16.5" customHeight="1">
      <c r="A20" s="64"/>
      <c r="B20" s="736" t="s">
        <v>1231</v>
      </c>
      <c r="C20" s="725" t="s">
        <v>777</v>
      </c>
      <c r="D20" s="183" t="s">
        <v>415</v>
      </c>
      <c r="E20" s="170">
        <v>3417.58</v>
      </c>
      <c r="F20" s="170">
        <v>31936.2</v>
      </c>
      <c r="G20" s="170">
        <v>1176.23</v>
      </c>
      <c r="H20" s="238">
        <f>E20+F20+G20</f>
        <v>36530.01</v>
      </c>
    </row>
    <row r="21" spans="1:8" s="176" customFormat="1" ht="16.5" customHeight="1" thickBot="1">
      <c r="A21" s="64"/>
      <c r="B21" s="726"/>
      <c r="C21" s="726"/>
      <c r="D21" s="184" t="s">
        <v>3</v>
      </c>
      <c r="E21" s="174">
        <v>3417.58</v>
      </c>
      <c r="F21" s="174">
        <v>31936.2</v>
      </c>
      <c r="G21" s="174">
        <v>1176.23</v>
      </c>
      <c r="H21" s="175">
        <f>E21+F21+G21</f>
        <v>36530.01</v>
      </c>
    </row>
    <row r="22" spans="1:8" s="176" customFormat="1" ht="16.5" customHeight="1" thickBot="1">
      <c r="A22" s="64"/>
      <c r="B22" s="726"/>
      <c r="C22" s="727"/>
      <c r="D22" s="124" t="s">
        <v>1125</v>
      </c>
      <c r="E22" s="76">
        <f>E20-E21</f>
        <v>0</v>
      </c>
      <c r="F22" s="76">
        <f>F20-F21</f>
        <v>0</v>
      </c>
      <c r="G22" s="76">
        <f>G20-G21</f>
        <v>0</v>
      </c>
      <c r="H22" s="164">
        <f>H20-H21</f>
        <v>0</v>
      </c>
    </row>
    <row r="23" spans="1:8" s="176" customFormat="1" ht="16.5" customHeight="1">
      <c r="A23" s="64"/>
      <c r="B23" s="726"/>
      <c r="C23" s="725" t="s">
        <v>778</v>
      </c>
      <c r="D23" s="183" t="s">
        <v>416</v>
      </c>
      <c r="E23" s="170">
        <v>6149.17</v>
      </c>
      <c r="F23" s="170">
        <v>4824.87</v>
      </c>
      <c r="G23" s="170">
        <v>3522.76</v>
      </c>
      <c r="H23" s="238">
        <f>E23+F23+G23</f>
        <v>14496.800000000001</v>
      </c>
    </row>
    <row r="24" spans="1:8" s="176" customFormat="1" ht="16.5" customHeight="1" thickBot="1">
      <c r="A24" s="64"/>
      <c r="B24" s="726"/>
      <c r="C24" s="726"/>
      <c r="D24" s="184" t="s">
        <v>1027</v>
      </c>
      <c r="E24" s="174">
        <v>6149.17</v>
      </c>
      <c r="F24" s="174">
        <v>4824.87</v>
      </c>
      <c r="G24" s="174">
        <v>3522.76</v>
      </c>
      <c r="H24" s="175">
        <f>E24+F24+G24</f>
        <v>14496.800000000001</v>
      </c>
    </row>
    <row r="25" spans="1:8" s="176" customFormat="1" ht="16.5" customHeight="1" thickBot="1">
      <c r="A25" s="64"/>
      <c r="B25" s="726"/>
      <c r="C25" s="727"/>
      <c r="D25" s="124" t="s">
        <v>1125</v>
      </c>
      <c r="E25" s="76">
        <f>E23-E24</f>
        <v>0</v>
      </c>
      <c r="F25" s="76">
        <f>F23-F24</f>
        <v>0</v>
      </c>
      <c r="G25" s="76">
        <f>G23-G24</f>
        <v>0</v>
      </c>
      <c r="H25" s="164">
        <f>H23-H24</f>
        <v>0</v>
      </c>
    </row>
    <row r="26" spans="2:9" s="176" customFormat="1" ht="16.5" customHeight="1">
      <c r="B26" s="726"/>
      <c r="C26" s="736" t="s">
        <v>779</v>
      </c>
      <c r="D26" s="183" t="s">
        <v>417</v>
      </c>
      <c r="E26" s="170">
        <v>2811.69</v>
      </c>
      <c r="F26" s="170">
        <v>10442.27</v>
      </c>
      <c r="G26" s="170">
        <v>1073.3</v>
      </c>
      <c r="H26" s="238">
        <f>E26+F26+G26</f>
        <v>14327.26</v>
      </c>
      <c r="I26" s="177"/>
    </row>
    <row r="27" spans="2:9" s="176" customFormat="1" ht="16.5" customHeight="1" thickBot="1">
      <c r="B27" s="726"/>
      <c r="C27" s="726"/>
      <c r="D27" s="184" t="s">
        <v>1028</v>
      </c>
      <c r="E27" s="174">
        <v>2811.69</v>
      </c>
      <c r="F27" s="174">
        <v>10442.27</v>
      </c>
      <c r="G27" s="174">
        <v>1073.3</v>
      </c>
      <c r="H27" s="175">
        <f>E27+F27+G27</f>
        <v>14327.26</v>
      </c>
      <c r="I27" s="177"/>
    </row>
    <row r="28" spans="2:9" s="176" customFormat="1" ht="16.5" customHeight="1" thickBot="1">
      <c r="B28" s="727"/>
      <c r="C28" s="727"/>
      <c r="D28" s="124" t="s">
        <v>1125</v>
      </c>
      <c r="E28" s="76">
        <f>E26-E27</f>
        <v>0</v>
      </c>
      <c r="F28" s="76">
        <f>F26-F27</f>
        <v>0</v>
      </c>
      <c r="G28" s="76">
        <f>G26-G27</f>
        <v>0</v>
      </c>
      <c r="H28" s="164">
        <f>H26-H27</f>
        <v>0</v>
      </c>
      <c r="I28" s="177"/>
    </row>
    <row r="29" spans="1:8" s="176" customFormat="1" ht="22.5" customHeight="1" thickBot="1">
      <c r="A29" s="64"/>
      <c r="B29" s="239" t="s">
        <v>780</v>
      </c>
      <c r="C29" s="239" t="s">
        <v>781</v>
      </c>
      <c r="D29" s="240" t="s">
        <v>782</v>
      </c>
      <c r="E29" s="182">
        <v>0.25</v>
      </c>
      <c r="F29" s="188" t="str">
        <f>IF(COMANDOBLOQUEADO!Y6="2007","8,34%",IF(COMANDOBLOQUEADO!Y6="2008","6,67%","5%"))</f>
        <v>5%</v>
      </c>
      <c r="G29" s="188" t="str">
        <f>IF(COMANDOBLOQUEADO!Y6="2007","18,34%",IF(COMANDOBLOQUEADO!Y6="2008","11,67%","5%"))</f>
        <v>5%</v>
      </c>
      <c r="H29" s="185"/>
    </row>
    <row r="30" spans="1:8" s="176" customFormat="1" ht="16.5" customHeight="1">
      <c r="A30" s="64"/>
      <c r="B30" s="736" t="s">
        <v>1232</v>
      </c>
      <c r="C30" s="725" t="s">
        <v>777</v>
      </c>
      <c r="D30" s="183" t="s">
        <v>415</v>
      </c>
      <c r="E30" s="170">
        <v>3643.07</v>
      </c>
      <c r="F30" s="170">
        <v>24195.59</v>
      </c>
      <c r="G30" s="170">
        <v>1439.7</v>
      </c>
      <c r="H30" s="238">
        <f>E30+F30+G30</f>
        <v>29278.36</v>
      </c>
    </row>
    <row r="31" spans="1:8" s="176" customFormat="1" ht="16.5" customHeight="1" thickBot="1">
      <c r="A31" s="64"/>
      <c r="B31" s="726"/>
      <c r="C31" s="726"/>
      <c r="D31" s="184" t="s">
        <v>3</v>
      </c>
      <c r="E31" s="174">
        <v>3643.07</v>
      </c>
      <c r="F31" s="174">
        <v>24195.59</v>
      </c>
      <c r="G31" s="174">
        <v>1439.7</v>
      </c>
      <c r="H31" s="175">
        <f>E31+F31+G31</f>
        <v>29278.36</v>
      </c>
    </row>
    <row r="32" spans="1:8" s="176" customFormat="1" ht="16.5" customHeight="1" thickBot="1">
      <c r="A32" s="64"/>
      <c r="B32" s="726"/>
      <c r="C32" s="727"/>
      <c r="D32" s="124" t="s">
        <v>1125</v>
      </c>
      <c r="E32" s="76">
        <f>E30-E31</f>
        <v>0</v>
      </c>
      <c r="F32" s="76">
        <f>F30-F31</f>
        <v>0</v>
      </c>
      <c r="G32" s="76">
        <f>G30-G31</f>
        <v>0</v>
      </c>
      <c r="H32" s="164">
        <f>H30-H31</f>
        <v>0</v>
      </c>
    </row>
    <row r="33" spans="1:8" s="176" customFormat="1" ht="16.5" customHeight="1">
      <c r="A33" s="64"/>
      <c r="B33" s="726"/>
      <c r="C33" s="725" t="s">
        <v>778</v>
      </c>
      <c r="D33" s="183" t="s">
        <v>416</v>
      </c>
      <c r="E33" s="170">
        <v>44906.32</v>
      </c>
      <c r="F33" s="170">
        <v>4643.54</v>
      </c>
      <c r="G33" s="170">
        <v>3686.29</v>
      </c>
      <c r="H33" s="238">
        <f>E33+F33+G33</f>
        <v>53236.15</v>
      </c>
    </row>
    <row r="34" spans="1:8" s="176" customFormat="1" ht="16.5" customHeight="1" thickBot="1">
      <c r="A34" s="64"/>
      <c r="B34" s="726"/>
      <c r="C34" s="726"/>
      <c r="D34" s="184" t="s">
        <v>1027</v>
      </c>
      <c r="E34" s="174">
        <v>44906.32</v>
      </c>
      <c r="F34" s="174">
        <v>4643.54</v>
      </c>
      <c r="G34" s="174">
        <v>3686.29</v>
      </c>
      <c r="H34" s="175">
        <f>E34+F34+G34</f>
        <v>53236.15</v>
      </c>
    </row>
    <row r="35" spans="1:8" s="176" customFormat="1" ht="16.5" customHeight="1" thickBot="1">
      <c r="A35" s="64"/>
      <c r="B35" s="726"/>
      <c r="C35" s="727"/>
      <c r="D35" s="124" t="s">
        <v>1125</v>
      </c>
      <c r="E35" s="76">
        <f>E33-E34</f>
        <v>0</v>
      </c>
      <c r="F35" s="76">
        <f>F33-F34</f>
        <v>0</v>
      </c>
      <c r="G35" s="76">
        <f>G33-G34</f>
        <v>0</v>
      </c>
      <c r="H35" s="164">
        <f>H33-H34</f>
        <v>0</v>
      </c>
    </row>
    <row r="36" spans="2:9" s="176" customFormat="1" ht="16.5" customHeight="1">
      <c r="B36" s="726"/>
      <c r="C36" s="725" t="s">
        <v>779</v>
      </c>
      <c r="D36" s="183" t="s">
        <v>417</v>
      </c>
      <c r="E36" s="170">
        <v>18940.72</v>
      </c>
      <c r="F36" s="170">
        <v>16525.25</v>
      </c>
      <c r="G36" s="170">
        <v>1692.52</v>
      </c>
      <c r="H36" s="238">
        <f>E36+F36+G36</f>
        <v>37158.49</v>
      </c>
      <c r="I36" s="177"/>
    </row>
    <row r="37" spans="2:9" s="176" customFormat="1" ht="16.5" customHeight="1" thickBot="1">
      <c r="B37" s="726"/>
      <c r="C37" s="726"/>
      <c r="D37" s="184" t="s">
        <v>1028</v>
      </c>
      <c r="E37" s="174">
        <v>18940.72</v>
      </c>
      <c r="F37" s="174">
        <v>16525.25</v>
      </c>
      <c r="G37" s="174">
        <v>1692.52</v>
      </c>
      <c r="H37" s="175">
        <f>E37+F37+G37</f>
        <v>37158.49</v>
      </c>
      <c r="I37" s="177"/>
    </row>
    <row r="38" spans="2:9" s="176" customFormat="1" ht="16.5" customHeight="1" thickBot="1">
      <c r="B38" s="727"/>
      <c r="C38" s="727"/>
      <c r="D38" s="190" t="s">
        <v>1125</v>
      </c>
      <c r="E38" s="76">
        <f>E36-E37</f>
        <v>0</v>
      </c>
      <c r="F38" s="76">
        <f>F36-F37</f>
        <v>0</v>
      </c>
      <c r="G38" s="76">
        <f>G36-G37</f>
        <v>0</v>
      </c>
      <c r="H38" s="164">
        <f>H36-H37</f>
        <v>0</v>
      </c>
      <c r="I38" s="177"/>
    </row>
    <row r="39" spans="1:8" s="176" customFormat="1" ht="22.5" customHeight="1" thickBot="1">
      <c r="A39" s="64"/>
      <c r="B39" s="730" t="s">
        <v>1003</v>
      </c>
      <c r="C39" s="731"/>
      <c r="D39" s="240" t="s">
        <v>782</v>
      </c>
      <c r="E39" s="182">
        <v>0.25</v>
      </c>
      <c r="F39" s="188" t="str">
        <f>IF(COMANDOBLOQUEADO!Y6="2007","8,34%",IF(COMANDOBLOQUEADO!Y6="2008","6,67%","5%"))</f>
        <v>5%</v>
      </c>
      <c r="G39" s="188" t="str">
        <f>IF(COMANDOBLOQUEADO!Y6="2007","18,34%",IF(COMANDOBLOQUEADO!Y6="2008","11,67%","5%"))</f>
        <v>5%</v>
      </c>
      <c r="H39" s="185"/>
    </row>
    <row r="40" spans="1:8" s="176" customFormat="1" ht="16.5" customHeight="1">
      <c r="A40" s="64"/>
      <c r="B40" s="732"/>
      <c r="C40" s="733"/>
      <c r="D40" s="183" t="s">
        <v>1211</v>
      </c>
      <c r="E40" s="171">
        <f aca="true" t="shared" si="0" ref="E40:H41">E10+E13+E16+E20+E23+E26+E30+E33+E36</f>
        <v>97920.61</v>
      </c>
      <c r="F40" s="171">
        <f t="shared" si="0"/>
        <v>140491.15999999997</v>
      </c>
      <c r="G40" s="171">
        <f t="shared" si="0"/>
        <v>26681.61</v>
      </c>
      <c r="H40" s="238">
        <f t="shared" si="0"/>
        <v>265093.38</v>
      </c>
    </row>
    <row r="41" spans="1:8" s="176" customFormat="1" ht="16.5" customHeight="1" thickBot="1">
      <c r="A41" s="64"/>
      <c r="B41" s="732"/>
      <c r="C41" s="733"/>
      <c r="D41" s="184" t="s">
        <v>1029</v>
      </c>
      <c r="E41" s="145">
        <f t="shared" si="0"/>
        <v>97920.61</v>
      </c>
      <c r="F41" s="145">
        <f t="shared" si="0"/>
        <v>140491.15999999997</v>
      </c>
      <c r="G41" s="145">
        <f t="shared" si="0"/>
        <v>26681.61</v>
      </c>
      <c r="H41" s="241">
        <f t="shared" si="0"/>
        <v>265093.38</v>
      </c>
    </row>
    <row r="42" spans="1:8" s="176" customFormat="1" ht="16.5" customHeight="1" thickBot="1">
      <c r="A42" s="64"/>
      <c r="B42" s="734"/>
      <c r="C42" s="735"/>
      <c r="D42" s="124" t="s">
        <v>1125</v>
      </c>
      <c r="E42" s="76">
        <f>E40-E41</f>
        <v>0</v>
      </c>
      <c r="F42" s="76">
        <f>F40-F41</f>
        <v>0</v>
      </c>
      <c r="G42" s="76">
        <f>G40-G41</f>
        <v>0</v>
      </c>
      <c r="H42" s="164">
        <f>H40-H41</f>
        <v>0</v>
      </c>
    </row>
    <row r="43" s="176" customFormat="1" ht="14.25"/>
    <row r="44" s="176" customFormat="1" ht="14.25"/>
    <row r="45" s="176" customFormat="1" ht="14.25"/>
    <row r="46" s="176" customFormat="1" ht="14.25"/>
    <row r="47" s="176" customFormat="1" ht="14.25"/>
    <row r="48" s="176" customFormat="1" ht="14.25"/>
    <row r="49" s="176" customFormat="1" ht="14.25"/>
    <row r="50" s="176" customFormat="1" ht="14.25"/>
    <row r="51" s="176" customFormat="1" ht="14.25"/>
    <row r="52" s="176" customFormat="1" ht="14.25"/>
    <row r="53" s="176" customFormat="1" ht="14.25"/>
    <row r="54" s="176" customFormat="1" ht="14.25"/>
    <row r="55" s="176" customFormat="1" ht="14.25"/>
    <row r="56" s="176" customFormat="1" ht="14.25"/>
    <row r="57" s="176" customFormat="1" ht="14.25"/>
    <row r="58" s="176" customFormat="1" ht="14.25"/>
    <row r="59" s="176" customFormat="1" ht="14.25"/>
    <row r="60" s="176" customFormat="1" ht="14.25"/>
    <row r="61" s="176" customFormat="1" ht="14.25"/>
    <row r="62" s="176" customFormat="1" ht="14.25"/>
    <row r="63" s="176" customFormat="1" ht="14.25"/>
    <row r="64" s="176" customFormat="1" ht="14.25"/>
    <row r="65" s="176" customFormat="1" ht="14.25"/>
    <row r="66" s="176" customFormat="1" ht="14.25"/>
    <row r="67" s="176" customFormat="1" ht="14.25"/>
    <row r="68" s="176" customFormat="1" ht="14.25"/>
    <row r="69" s="176" customFormat="1" ht="14.25"/>
    <row r="70" s="176" customFormat="1" ht="14.25"/>
    <row r="71" s="176" customFormat="1" ht="14.25"/>
    <row r="72" s="176" customFormat="1" ht="14.25"/>
    <row r="73" s="176" customFormat="1" ht="14.25"/>
    <row r="74" s="176" customFormat="1" ht="14.25"/>
    <row r="75" spans="1:9" ht="0.75" customHeight="1">
      <c r="A75" s="119"/>
      <c r="B75" s="119"/>
      <c r="C75" s="120"/>
      <c r="D75" s="120"/>
      <c r="E75" s="120"/>
      <c r="F75" s="120"/>
      <c r="G75" s="120"/>
      <c r="H75" s="120"/>
      <c r="I75" s="120"/>
    </row>
    <row r="76" spans="1:9" ht="12.75" customHeight="1">
      <c r="A76" s="119"/>
      <c r="B76" s="677" t="s">
        <v>113</v>
      </c>
      <c r="C76" s="740"/>
      <c r="D76" s="744" t="str">
        <f>COMANDOBLOQUEADO!S19</f>
        <v>CESÁRIO LANGE</v>
      </c>
      <c r="E76" s="572"/>
      <c r="F76" s="685" t="s">
        <v>268</v>
      </c>
      <c r="G76" s="682" t="str">
        <f>COMANDOBLOQUEADO!U6</f>
        <v>4º TRIMESTRE</v>
      </c>
      <c r="H76" s="682" t="str">
        <f>COMANDOBLOQUEADO!Y6</f>
        <v>2009</v>
      </c>
      <c r="I76" s="120"/>
    </row>
    <row r="77" spans="1:9" ht="12.75" customHeight="1">
      <c r="A77" s="119"/>
      <c r="B77" s="677"/>
      <c r="C77" s="740"/>
      <c r="D77" s="572"/>
      <c r="E77" s="572"/>
      <c r="F77" s="683"/>
      <c r="G77" s="682"/>
      <c r="H77" s="682"/>
      <c r="I77" s="120"/>
    </row>
    <row r="78" spans="1:9" ht="19.5" customHeight="1">
      <c r="A78" s="120"/>
      <c r="B78" s="120"/>
      <c r="C78" s="154"/>
      <c r="D78" s="57"/>
      <c r="E78" s="57"/>
      <c r="F78" s="57"/>
      <c r="G78" s="57"/>
      <c r="H78" s="57"/>
      <c r="I78" s="120"/>
    </row>
    <row r="79" spans="1:13" ht="21" customHeight="1">
      <c r="A79" s="140"/>
      <c r="B79" s="140"/>
      <c r="C79" s="741" t="s">
        <v>1245</v>
      </c>
      <c r="D79" s="742"/>
      <c r="E79" s="742"/>
      <c r="F79" s="742"/>
      <c r="G79" s="742"/>
      <c r="H79" s="742"/>
      <c r="I79" s="742"/>
      <c r="J79" s="742"/>
      <c r="K79" s="743"/>
      <c r="L79" s="743"/>
      <c r="M79" s="743"/>
    </row>
    <row r="80" spans="1:13" ht="19.5" customHeight="1" thickBot="1">
      <c r="A80" s="140"/>
      <c r="B80" s="140"/>
      <c r="C80" s="178"/>
      <c r="D80" s="179"/>
      <c r="E80" s="179"/>
      <c r="F80" s="179"/>
      <c r="G80" s="179"/>
      <c r="H80" s="179"/>
      <c r="I80" s="179"/>
      <c r="J80" s="179"/>
      <c r="K80" s="186"/>
      <c r="L80" s="186"/>
      <c r="M80" s="186"/>
    </row>
    <row r="81" spans="1:9" ht="16.5" customHeight="1">
      <c r="A81" s="122"/>
      <c r="B81" s="745" t="s">
        <v>295</v>
      </c>
      <c r="C81" s="746"/>
      <c r="D81" s="747"/>
      <c r="E81" s="189" t="s">
        <v>414</v>
      </c>
      <c r="F81" s="668" t="s">
        <v>783</v>
      </c>
      <c r="G81" s="728" t="s">
        <v>784</v>
      </c>
      <c r="H81" s="679" t="s">
        <v>767</v>
      </c>
      <c r="I81" s="120"/>
    </row>
    <row r="82" spans="1:9" ht="16.5" customHeight="1" thickBot="1">
      <c r="A82" s="122"/>
      <c r="B82" s="748"/>
      <c r="C82" s="749"/>
      <c r="D82" s="750"/>
      <c r="E82" s="172" t="s">
        <v>413</v>
      </c>
      <c r="F82" s="751"/>
      <c r="G82" s="729"/>
      <c r="H82" s="739"/>
      <c r="I82" s="120"/>
    </row>
    <row r="83" spans="1:8" s="176" customFormat="1" ht="22.5" customHeight="1" thickBot="1">
      <c r="A83" s="64"/>
      <c r="B83" s="236" t="s">
        <v>780</v>
      </c>
      <c r="C83" s="236" t="s">
        <v>785</v>
      </c>
      <c r="D83" s="237" t="s">
        <v>782</v>
      </c>
      <c r="E83" s="187">
        <v>0.25</v>
      </c>
      <c r="F83" s="188" t="str">
        <f>IF(COMANDOBLOQUEADO!Y6="2007","8,34%",IF(COMANDOBLOQUEADO!Y6="2008","6,67%","5%"))</f>
        <v>5%</v>
      </c>
      <c r="G83" s="188" t="str">
        <f>IF(COMANDOBLOQUEADO!Y6="2007","18,34%",IF(COMANDOBLOQUEADO!Y6="2008","11,67%","5%"))</f>
        <v>5%</v>
      </c>
      <c r="H83" s="185"/>
    </row>
    <row r="84" spans="1:8" s="176" customFormat="1" ht="16.5" customHeight="1">
      <c r="A84" s="64"/>
      <c r="B84" s="725" t="s">
        <v>1233</v>
      </c>
      <c r="C84" s="725" t="s">
        <v>777</v>
      </c>
      <c r="D84" s="183" t="s">
        <v>415</v>
      </c>
      <c r="E84" s="170">
        <v>6031.82</v>
      </c>
      <c r="F84" s="170">
        <v>19537.57</v>
      </c>
      <c r="G84" s="170">
        <v>434.17</v>
      </c>
      <c r="H84" s="238">
        <f>E84+F84+G84</f>
        <v>26003.559999999998</v>
      </c>
    </row>
    <row r="85" spans="1:8" s="176" customFormat="1" ht="16.5" customHeight="1" thickBot="1">
      <c r="A85" s="64"/>
      <c r="B85" s="726"/>
      <c r="C85" s="737"/>
      <c r="D85" s="184" t="s">
        <v>3</v>
      </c>
      <c r="E85" s="174">
        <v>6031.82</v>
      </c>
      <c r="F85" s="174">
        <v>19537.57</v>
      </c>
      <c r="G85" s="174">
        <v>434.17</v>
      </c>
      <c r="H85" s="175">
        <f>E85+F85+G85</f>
        <v>26003.559999999998</v>
      </c>
    </row>
    <row r="86" spans="1:8" s="176" customFormat="1" ht="16.5" customHeight="1" thickBot="1">
      <c r="A86" s="64"/>
      <c r="B86" s="726"/>
      <c r="C86" s="738"/>
      <c r="D86" s="124" t="s">
        <v>1125</v>
      </c>
      <c r="E86" s="76">
        <f>E84-E85</f>
        <v>0</v>
      </c>
      <c r="F86" s="76">
        <f>F84-F85</f>
        <v>0</v>
      </c>
      <c r="G86" s="76">
        <f>G84-G85</f>
        <v>0</v>
      </c>
      <c r="H86" s="164">
        <f>H84-H85</f>
        <v>0</v>
      </c>
    </row>
    <row r="87" spans="1:8" s="176" customFormat="1" ht="16.5" customHeight="1">
      <c r="A87" s="64"/>
      <c r="B87" s="726"/>
      <c r="C87" s="725" t="s">
        <v>778</v>
      </c>
      <c r="D87" s="183" t="s">
        <v>416</v>
      </c>
      <c r="E87" s="170">
        <v>2310.5</v>
      </c>
      <c r="F87" s="170">
        <v>6848.94</v>
      </c>
      <c r="G87" s="170">
        <v>118.51</v>
      </c>
      <c r="H87" s="238">
        <f>E87+F87+G87</f>
        <v>9277.949999999999</v>
      </c>
    </row>
    <row r="88" spans="1:8" s="176" customFormat="1" ht="16.5" customHeight="1" thickBot="1">
      <c r="A88" s="64"/>
      <c r="B88" s="726"/>
      <c r="C88" s="726"/>
      <c r="D88" s="184" t="s">
        <v>1027</v>
      </c>
      <c r="E88" s="174">
        <v>2310.5</v>
      </c>
      <c r="F88" s="174">
        <v>6848.94</v>
      </c>
      <c r="G88" s="174">
        <v>118.51</v>
      </c>
      <c r="H88" s="175">
        <f>E88+F88+G88</f>
        <v>9277.949999999999</v>
      </c>
    </row>
    <row r="89" spans="1:8" s="176" customFormat="1" ht="16.5" customHeight="1" thickBot="1">
      <c r="A89" s="64"/>
      <c r="B89" s="726"/>
      <c r="C89" s="727"/>
      <c r="D89" s="124" t="s">
        <v>1125</v>
      </c>
      <c r="E89" s="76">
        <f>E87-E88</f>
        <v>0</v>
      </c>
      <c r="F89" s="76">
        <f>F87-F88</f>
        <v>0</v>
      </c>
      <c r="G89" s="76">
        <f>G87-G88</f>
        <v>0</v>
      </c>
      <c r="H89" s="164">
        <f>H87-H88</f>
        <v>0</v>
      </c>
    </row>
    <row r="90" spans="2:9" s="176" customFormat="1" ht="16.5" customHeight="1">
      <c r="B90" s="726"/>
      <c r="C90" s="725" t="s">
        <v>779</v>
      </c>
      <c r="D90" s="183" t="s">
        <v>417</v>
      </c>
      <c r="E90" s="170">
        <v>19981.14</v>
      </c>
      <c r="F90" s="170">
        <v>16683.93</v>
      </c>
      <c r="G90" s="170">
        <v>1591.26</v>
      </c>
      <c r="H90" s="238">
        <f>E90+F90+G90</f>
        <v>38256.33</v>
      </c>
      <c r="I90" s="177"/>
    </row>
    <row r="91" spans="2:9" s="176" customFormat="1" ht="16.5" customHeight="1" thickBot="1">
      <c r="B91" s="726"/>
      <c r="C91" s="726"/>
      <c r="D91" s="184" t="s">
        <v>1028</v>
      </c>
      <c r="E91" s="174">
        <v>19981.14</v>
      </c>
      <c r="F91" s="174">
        <v>16683.93</v>
      </c>
      <c r="G91" s="174">
        <v>1591.26</v>
      </c>
      <c r="H91" s="175">
        <f>E91+F91+G91</f>
        <v>38256.33</v>
      </c>
      <c r="I91" s="177"/>
    </row>
    <row r="92" spans="2:9" s="176" customFormat="1" ht="16.5" customHeight="1" thickBot="1">
      <c r="B92" s="727"/>
      <c r="C92" s="727"/>
      <c r="D92" s="124" t="s">
        <v>1125</v>
      </c>
      <c r="E92" s="76">
        <f>E90-E91</f>
        <v>0</v>
      </c>
      <c r="F92" s="76">
        <f>F90-F91</f>
        <v>0</v>
      </c>
      <c r="G92" s="76">
        <f>G90-G91</f>
        <v>0</v>
      </c>
      <c r="H92" s="164">
        <f>H90-H91</f>
        <v>0</v>
      </c>
      <c r="I92" s="177"/>
    </row>
    <row r="93" spans="1:8" s="176" customFormat="1" ht="22.5" customHeight="1" thickBot="1">
      <c r="A93" s="64"/>
      <c r="B93" s="239" t="s">
        <v>780</v>
      </c>
      <c r="C93" s="239" t="s">
        <v>781</v>
      </c>
      <c r="D93" s="240" t="s">
        <v>782</v>
      </c>
      <c r="E93" s="182">
        <v>0.25</v>
      </c>
      <c r="F93" s="188" t="str">
        <f>IF(COMANDOBLOQUEADO!Y6="2007","8,34%",IF(COMANDOBLOQUEADO!Y6="2008","6,67%","5%"))</f>
        <v>5%</v>
      </c>
      <c r="G93" s="188" t="str">
        <f>IF(COMANDOBLOQUEADO!Y6="2007","18,34%",IF(COMANDOBLOQUEADO!Y6="2008","11,67%","5%"))</f>
        <v>5%</v>
      </c>
      <c r="H93" s="185"/>
    </row>
    <row r="94" spans="1:8" s="176" customFormat="1" ht="16.5" customHeight="1">
      <c r="A94" s="64"/>
      <c r="B94" s="736" t="s">
        <v>1234</v>
      </c>
      <c r="C94" s="725" t="s">
        <v>777</v>
      </c>
      <c r="D94" s="183" t="s">
        <v>415</v>
      </c>
      <c r="E94" s="170">
        <v>4166.55</v>
      </c>
      <c r="F94" s="170">
        <v>25157.3</v>
      </c>
      <c r="G94" s="170">
        <v>280.49</v>
      </c>
      <c r="H94" s="238">
        <f>E94+F94+G94</f>
        <v>29604.34</v>
      </c>
    </row>
    <row r="95" spans="1:8" s="176" customFormat="1" ht="16.5" customHeight="1" thickBot="1">
      <c r="A95" s="64"/>
      <c r="B95" s="726"/>
      <c r="C95" s="726"/>
      <c r="D95" s="184" t="s">
        <v>3</v>
      </c>
      <c r="E95" s="174">
        <v>4166.55</v>
      </c>
      <c r="F95" s="174">
        <v>25157.3</v>
      </c>
      <c r="G95" s="174">
        <v>280.49</v>
      </c>
      <c r="H95" s="175">
        <f>E95+F95+G95</f>
        <v>29604.34</v>
      </c>
    </row>
    <row r="96" spans="1:8" s="176" customFormat="1" ht="16.5" customHeight="1" thickBot="1">
      <c r="A96" s="64"/>
      <c r="B96" s="726"/>
      <c r="C96" s="727"/>
      <c r="D96" s="124" t="s">
        <v>1125</v>
      </c>
      <c r="E96" s="76">
        <f>E94-E95</f>
        <v>0</v>
      </c>
      <c r="F96" s="76">
        <f>F94-F95</f>
        <v>0</v>
      </c>
      <c r="G96" s="76">
        <f>G94-G95</f>
        <v>0</v>
      </c>
      <c r="H96" s="164">
        <f>H94-H95</f>
        <v>0</v>
      </c>
    </row>
    <row r="97" spans="1:8" s="176" customFormat="1" ht="16.5" customHeight="1">
      <c r="A97" s="64"/>
      <c r="B97" s="726"/>
      <c r="C97" s="725" t="s">
        <v>778</v>
      </c>
      <c r="D97" s="183" t="s">
        <v>416</v>
      </c>
      <c r="E97" s="170">
        <v>6294.51</v>
      </c>
      <c r="F97" s="170">
        <v>12556.64</v>
      </c>
      <c r="G97" s="170">
        <v>588.3</v>
      </c>
      <c r="H97" s="238">
        <f>E97+F97+G97</f>
        <v>19439.45</v>
      </c>
    </row>
    <row r="98" spans="1:8" s="176" customFormat="1" ht="16.5" customHeight="1" thickBot="1">
      <c r="A98" s="64"/>
      <c r="B98" s="726"/>
      <c r="C98" s="726"/>
      <c r="D98" s="184" t="s">
        <v>1027</v>
      </c>
      <c r="E98" s="174">
        <v>6294.51</v>
      </c>
      <c r="F98" s="174">
        <v>12556.64</v>
      </c>
      <c r="G98" s="174">
        <v>588.3</v>
      </c>
      <c r="H98" s="175">
        <f>E98+F98+G98</f>
        <v>19439.45</v>
      </c>
    </row>
    <row r="99" spans="1:8" s="176" customFormat="1" ht="16.5" customHeight="1" thickBot="1">
      <c r="A99" s="64"/>
      <c r="B99" s="726"/>
      <c r="C99" s="727"/>
      <c r="D99" s="124" t="s">
        <v>1125</v>
      </c>
      <c r="E99" s="76">
        <f>E97-E98</f>
        <v>0</v>
      </c>
      <c r="F99" s="76">
        <f>F97-F98</f>
        <v>0</v>
      </c>
      <c r="G99" s="76">
        <f>G97-G98</f>
        <v>0</v>
      </c>
      <c r="H99" s="164">
        <f>H97-H98</f>
        <v>0</v>
      </c>
    </row>
    <row r="100" spans="2:9" s="176" customFormat="1" ht="16.5" customHeight="1">
      <c r="B100" s="726"/>
      <c r="C100" s="736" t="s">
        <v>779</v>
      </c>
      <c r="D100" s="183" t="s">
        <v>417</v>
      </c>
      <c r="E100" s="170">
        <f>41856.47</f>
        <v>41856.47</v>
      </c>
      <c r="F100" s="170">
        <v>45693.03</v>
      </c>
      <c r="G100" s="170">
        <v>338.84</v>
      </c>
      <c r="H100" s="238">
        <f>E100+F100+G100</f>
        <v>87888.34</v>
      </c>
      <c r="I100" s="177"/>
    </row>
    <row r="101" spans="2:9" s="176" customFormat="1" ht="16.5" customHeight="1" thickBot="1">
      <c r="B101" s="726"/>
      <c r="C101" s="726"/>
      <c r="D101" s="184" t="s">
        <v>1028</v>
      </c>
      <c r="E101" s="174">
        <v>41856.47</v>
      </c>
      <c r="F101" s="174">
        <v>45693.03</v>
      </c>
      <c r="G101" s="174">
        <v>338.84</v>
      </c>
      <c r="H101" s="175">
        <f>E101+F101+G101</f>
        <v>87888.34</v>
      </c>
      <c r="I101" s="177"/>
    </row>
    <row r="102" spans="2:9" s="176" customFormat="1" ht="16.5" customHeight="1" thickBot="1">
      <c r="B102" s="727"/>
      <c r="C102" s="727"/>
      <c r="D102" s="124" t="s">
        <v>1125</v>
      </c>
      <c r="E102" s="76">
        <f>E100-E101</f>
        <v>0</v>
      </c>
      <c r="F102" s="76">
        <f>F100-F101</f>
        <v>0</v>
      </c>
      <c r="G102" s="76">
        <f>G100-G101</f>
        <v>0</v>
      </c>
      <c r="H102" s="164">
        <f>H100-H101</f>
        <v>0</v>
      </c>
      <c r="I102" s="177"/>
    </row>
    <row r="103" spans="1:8" s="176" customFormat="1" ht="22.5" customHeight="1" thickBot="1">
      <c r="A103" s="64"/>
      <c r="B103" s="239" t="s">
        <v>780</v>
      </c>
      <c r="C103" s="239" t="s">
        <v>781</v>
      </c>
      <c r="D103" s="240" t="s">
        <v>782</v>
      </c>
      <c r="E103" s="182">
        <v>0.25</v>
      </c>
      <c r="F103" s="188" t="str">
        <f>IF(COMANDOBLOQUEADO!Y6="2007","8,34%",IF(COMANDOBLOQUEADO!Y6="2008","6,67%","5%"))</f>
        <v>5%</v>
      </c>
      <c r="G103" s="188" t="str">
        <f>IF(COMANDOBLOQUEADO!Y6="2007","18,34%",IF(COMANDOBLOQUEADO!Y6="2008","11,67%","5%"))</f>
        <v>5%</v>
      </c>
      <c r="H103" s="185"/>
    </row>
    <row r="104" spans="1:8" s="176" customFormat="1" ht="16.5" customHeight="1">
      <c r="A104" s="64"/>
      <c r="B104" s="736" t="s">
        <v>1235</v>
      </c>
      <c r="C104" s="725" t="s">
        <v>777</v>
      </c>
      <c r="D104" s="183" t="s">
        <v>415</v>
      </c>
      <c r="E104" s="170">
        <v>32287.75</v>
      </c>
      <c r="F104" s="170">
        <v>24947.14</v>
      </c>
      <c r="G104" s="170">
        <v>560.69</v>
      </c>
      <c r="H104" s="238">
        <f>E104+F104+G104</f>
        <v>57795.58</v>
      </c>
    </row>
    <row r="105" spans="1:8" s="176" customFormat="1" ht="16.5" customHeight="1" thickBot="1">
      <c r="A105" s="64"/>
      <c r="B105" s="726"/>
      <c r="C105" s="726"/>
      <c r="D105" s="184" t="s">
        <v>3</v>
      </c>
      <c r="E105" s="174">
        <v>32287.75</v>
      </c>
      <c r="F105" s="174">
        <v>24947.14</v>
      </c>
      <c r="G105" s="174">
        <v>560.69</v>
      </c>
      <c r="H105" s="175">
        <f>E105+F105+G105</f>
        <v>57795.58</v>
      </c>
    </row>
    <row r="106" spans="1:8" s="176" customFormat="1" ht="16.5" customHeight="1" thickBot="1">
      <c r="A106" s="64"/>
      <c r="B106" s="726"/>
      <c r="C106" s="727"/>
      <c r="D106" s="124" t="s">
        <v>1125</v>
      </c>
      <c r="E106" s="76">
        <f>E104-E105</f>
        <v>0</v>
      </c>
      <c r="F106" s="76">
        <f>F104-F105</f>
        <v>0</v>
      </c>
      <c r="G106" s="76">
        <f>G104-G105</f>
        <v>0</v>
      </c>
      <c r="H106" s="164">
        <f>H104-H105</f>
        <v>0</v>
      </c>
    </row>
    <row r="107" spans="1:8" s="176" customFormat="1" ht="16.5" customHeight="1">
      <c r="A107" s="64"/>
      <c r="B107" s="726"/>
      <c r="C107" s="725" t="s">
        <v>778</v>
      </c>
      <c r="D107" s="183" t="s">
        <v>416</v>
      </c>
      <c r="E107" s="170">
        <v>7946.88</v>
      </c>
      <c r="F107" s="170">
        <v>10514.59</v>
      </c>
      <c r="G107" s="170">
        <v>1087.05</v>
      </c>
      <c r="H107" s="238">
        <f>E107+F107+G107</f>
        <v>19548.52</v>
      </c>
    </row>
    <row r="108" spans="1:8" s="176" customFormat="1" ht="16.5" customHeight="1" thickBot="1">
      <c r="A108" s="64"/>
      <c r="B108" s="726"/>
      <c r="C108" s="726"/>
      <c r="D108" s="184" t="s">
        <v>1027</v>
      </c>
      <c r="E108" s="174">
        <v>7946.88</v>
      </c>
      <c r="F108" s="174">
        <v>10514.59</v>
      </c>
      <c r="G108" s="174">
        <v>1087.05</v>
      </c>
      <c r="H108" s="175">
        <f>E108+F108+G108</f>
        <v>19548.52</v>
      </c>
    </row>
    <row r="109" spans="1:8" s="176" customFormat="1" ht="16.5" customHeight="1" thickBot="1">
      <c r="A109" s="64"/>
      <c r="B109" s="726"/>
      <c r="C109" s="727"/>
      <c r="D109" s="124" t="s">
        <v>1125</v>
      </c>
      <c r="E109" s="76">
        <f>E107-E108</f>
        <v>0</v>
      </c>
      <c r="F109" s="76">
        <f>F107-F108</f>
        <v>0</v>
      </c>
      <c r="G109" s="76">
        <f>G107-G108</f>
        <v>0</v>
      </c>
      <c r="H109" s="164">
        <f>H107-H108</f>
        <v>0</v>
      </c>
    </row>
    <row r="110" spans="2:9" s="176" customFormat="1" ht="16.5" customHeight="1">
      <c r="B110" s="726"/>
      <c r="C110" s="725" t="s">
        <v>779</v>
      </c>
      <c r="D110" s="183" t="s">
        <v>417</v>
      </c>
      <c r="E110" s="170">
        <v>23122.77</v>
      </c>
      <c r="F110" s="170">
        <v>23012.24</v>
      </c>
      <c r="G110" s="170">
        <v>630.65</v>
      </c>
      <c r="H110" s="238">
        <f>E110+F110+G110</f>
        <v>46765.66</v>
      </c>
      <c r="I110" s="177"/>
    </row>
    <row r="111" spans="2:9" s="176" customFormat="1" ht="16.5" customHeight="1" thickBot="1">
      <c r="B111" s="726"/>
      <c r="C111" s="726"/>
      <c r="D111" s="184" t="s">
        <v>1028</v>
      </c>
      <c r="E111" s="174">
        <v>23122.77</v>
      </c>
      <c r="F111" s="174">
        <v>23012.24</v>
      </c>
      <c r="G111" s="174">
        <v>630.65</v>
      </c>
      <c r="H111" s="175">
        <f>E111+F111+G111</f>
        <v>46765.66</v>
      </c>
      <c r="I111" s="177"/>
    </row>
    <row r="112" spans="2:9" s="176" customFormat="1" ht="16.5" customHeight="1" thickBot="1">
      <c r="B112" s="727"/>
      <c r="C112" s="727"/>
      <c r="D112" s="190" t="s">
        <v>1125</v>
      </c>
      <c r="E112" s="76">
        <f>E110-E111</f>
        <v>0</v>
      </c>
      <c r="F112" s="76">
        <f>F110-F111</f>
        <v>0</v>
      </c>
      <c r="G112" s="76">
        <f>G110-G111</f>
        <v>0</v>
      </c>
      <c r="H112" s="164">
        <f>H110-H111</f>
        <v>0</v>
      </c>
      <c r="I112" s="177"/>
    </row>
    <row r="113" spans="1:8" s="176" customFormat="1" ht="22.5" customHeight="1" thickBot="1">
      <c r="A113" s="64"/>
      <c r="B113" s="730" t="s">
        <v>1004</v>
      </c>
      <c r="C113" s="731"/>
      <c r="D113" s="240" t="s">
        <v>782</v>
      </c>
      <c r="E113" s="182">
        <v>0.25</v>
      </c>
      <c r="F113" s="188" t="str">
        <f>IF(COMANDOBLOQUEADO!Y6="2007","8,34%",IF(COMANDOBLOQUEADO!Y6="2008","6,67%","5%"))</f>
        <v>5%</v>
      </c>
      <c r="G113" s="188" t="str">
        <f>IF(COMANDOBLOQUEADO!Y6="2007","18,34%",IF(COMANDOBLOQUEADO!Y6="2008","11,67%","5%"))</f>
        <v>5%</v>
      </c>
      <c r="H113" s="185"/>
    </row>
    <row r="114" spans="1:8" s="176" customFormat="1" ht="16.5" customHeight="1">
      <c r="A114" s="64"/>
      <c r="B114" s="732"/>
      <c r="C114" s="733"/>
      <c r="D114" s="183" t="s">
        <v>1211</v>
      </c>
      <c r="E114" s="171">
        <f>E84+E87+E90+E94+E97+E100+E104+E107+E110</f>
        <v>143998.38999999998</v>
      </c>
      <c r="F114" s="171">
        <f aca="true" t="shared" si="1" ref="F114:H115">F84+F87+F90+F94+F97+F100+F104+F107+F110</f>
        <v>184951.37999999998</v>
      </c>
      <c r="G114" s="171">
        <f t="shared" si="1"/>
        <v>5629.96</v>
      </c>
      <c r="H114" s="238">
        <f t="shared" si="1"/>
        <v>334579.73</v>
      </c>
    </row>
    <row r="115" spans="1:8" s="176" customFormat="1" ht="16.5" customHeight="1" thickBot="1">
      <c r="A115" s="64"/>
      <c r="B115" s="732"/>
      <c r="C115" s="733"/>
      <c r="D115" s="184" t="s">
        <v>1029</v>
      </c>
      <c r="E115" s="145">
        <f>E85+E88+E91+E95+E98+E101+E105+E108+E111</f>
        <v>143998.38999999998</v>
      </c>
      <c r="F115" s="145">
        <f t="shared" si="1"/>
        <v>184951.37999999998</v>
      </c>
      <c r="G115" s="145">
        <f t="shared" si="1"/>
        <v>5629.96</v>
      </c>
      <c r="H115" s="241">
        <f t="shared" si="1"/>
        <v>334579.73</v>
      </c>
    </row>
    <row r="116" spans="1:8" s="176" customFormat="1" ht="16.5" customHeight="1" thickBot="1">
      <c r="A116" s="64"/>
      <c r="B116" s="734"/>
      <c r="C116" s="735"/>
      <c r="D116" s="124" t="s">
        <v>1125</v>
      </c>
      <c r="E116" s="76">
        <f>E114-E115</f>
        <v>0</v>
      </c>
      <c r="F116" s="76">
        <f>F114-F115</f>
        <v>0</v>
      </c>
      <c r="G116" s="76">
        <f>G114-G115</f>
        <v>0</v>
      </c>
      <c r="H116" s="164">
        <f>H114-H115</f>
        <v>0</v>
      </c>
    </row>
    <row r="117" s="176" customFormat="1" ht="14.25"/>
    <row r="118" s="176" customFormat="1" ht="14.25"/>
    <row r="119" s="176" customFormat="1" ht="14.25"/>
    <row r="120" s="176" customFormat="1" ht="14.25"/>
    <row r="121" s="176" customFormat="1" ht="14.25"/>
    <row r="122" s="176" customFormat="1" ht="14.25"/>
    <row r="123" s="176" customFormat="1" ht="14.25"/>
    <row r="124" s="176" customFormat="1" ht="14.25"/>
    <row r="125" s="176" customFormat="1" ht="14.25"/>
    <row r="126" s="176" customFormat="1" ht="14.25"/>
    <row r="127" s="176" customFormat="1" ht="14.25"/>
    <row r="128" s="176" customFormat="1" ht="14.25"/>
    <row r="129" s="176" customFormat="1" ht="14.25"/>
    <row r="130" s="176" customFormat="1" ht="14.25"/>
    <row r="131" s="176" customFormat="1" ht="14.25"/>
    <row r="132" s="176" customFormat="1" ht="14.25"/>
    <row r="133" s="176" customFormat="1" ht="14.25"/>
    <row r="134" s="176" customFormat="1" ht="14.25"/>
    <row r="135" s="176" customFormat="1" ht="14.25"/>
    <row r="136" s="176" customFormat="1" ht="14.25"/>
    <row r="137" s="176" customFormat="1" ht="14.25"/>
    <row r="138" s="176" customFormat="1" ht="14.25"/>
    <row r="139" s="176" customFormat="1" ht="14.25"/>
    <row r="140" s="176" customFormat="1" ht="14.25"/>
    <row r="141" s="176" customFormat="1" ht="14.25"/>
    <row r="142" s="176" customFormat="1" ht="14.25"/>
    <row r="143" s="176" customFormat="1" ht="14.25"/>
    <row r="144" s="176" customFormat="1" ht="14.25"/>
    <row r="145" s="176" customFormat="1" ht="14.25"/>
    <row r="146" s="176" customFormat="1" ht="14.25"/>
    <row r="147" s="176" customFormat="1" ht="14.25"/>
    <row r="148" s="176" customFormat="1" ht="14.25"/>
    <row r="149" s="176" customFormat="1" ht="14.25"/>
    <row r="150" spans="1:9" ht="0.75" customHeight="1">
      <c r="A150" s="119"/>
      <c r="B150" s="119"/>
      <c r="C150" s="120"/>
      <c r="D150" s="120"/>
      <c r="E150" s="120"/>
      <c r="F150" s="120"/>
      <c r="G150" s="120"/>
      <c r="H150" s="120"/>
      <c r="I150" s="120"/>
    </row>
    <row r="151" spans="1:9" ht="12.75" customHeight="1">
      <c r="A151" s="119"/>
      <c r="B151" s="677" t="s">
        <v>112</v>
      </c>
      <c r="C151" s="740"/>
      <c r="D151" s="744" t="str">
        <f>COMANDOBLOQUEADO!S19</f>
        <v>CESÁRIO LANGE</v>
      </c>
      <c r="E151" s="572"/>
      <c r="F151" s="685" t="s">
        <v>268</v>
      </c>
      <c r="G151" s="682" t="str">
        <f>COMANDOBLOQUEADO!U6</f>
        <v>4º TRIMESTRE</v>
      </c>
      <c r="H151" s="682" t="str">
        <f>COMANDOBLOQUEADO!Y6</f>
        <v>2009</v>
      </c>
      <c r="I151" s="120"/>
    </row>
    <row r="152" spans="1:9" ht="12.75" customHeight="1">
      <c r="A152" s="119"/>
      <c r="B152" s="677"/>
      <c r="C152" s="740"/>
      <c r="D152" s="572"/>
      <c r="E152" s="572"/>
      <c r="F152" s="683"/>
      <c r="G152" s="682"/>
      <c r="H152" s="682"/>
      <c r="I152" s="120"/>
    </row>
    <row r="153" spans="1:9" ht="19.5" customHeight="1">
      <c r="A153" s="120"/>
      <c r="B153" s="120"/>
      <c r="C153" s="154"/>
      <c r="D153" s="57"/>
      <c r="E153" s="57"/>
      <c r="F153" s="57"/>
      <c r="G153" s="57"/>
      <c r="H153" s="57"/>
      <c r="I153" s="120"/>
    </row>
    <row r="154" spans="1:13" ht="21" customHeight="1">
      <c r="A154" s="140"/>
      <c r="B154" s="140"/>
      <c r="C154" s="741" t="s">
        <v>1245</v>
      </c>
      <c r="D154" s="742"/>
      <c r="E154" s="742"/>
      <c r="F154" s="742"/>
      <c r="G154" s="742"/>
      <c r="H154" s="742"/>
      <c r="I154" s="742"/>
      <c r="J154" s="742"/>
      <c r="K154" s="743"/>
      <c r="L154" s="743"/>
      <c r="M154" s="743"/>
    </row>
    <row r="155" spans="1:13" ht="19.5" customHeight="1" thickBot="1">
      <c r="A155" s="140"/>
      <c r="B155" s="140"/>
      <c r="C155" s="178"/>
      <c r="D155" s="179"/>
      <c r="E155" s="179"/>
      <c r="F155" s="179"/>
      <c r="G155" s="179"/>
      <c r="H155" s="179"/>
      <c r="I155" s="179"/>
      <c r="J155" s="179"/>
      <c r="K155" s="186"/>
      <c r="L155" s="186"/>
      <c r="M155" s="186"/>
    </row>
    <row r="156" spans="1:9" ht="16.5" customHeight="1">
      <c r="A156" s="122"/>
      <c r="B156" s="745" t="s">
        <v>296</v>
      </c>
      <c r="C156" s="746"/>
      <c r="D156" s="747"/>
      <c r="E156" s="189" t="s">
        <v>414</v>
      </c>
      <c r="F156" s="668" t="s">
        <v>783</v>
      </c>
      <c r="G156" s="728" t="s">
        <v>784</v>
      </c>
      <c r="H156" s="679" t="s">
        <v>767</v>
      </c>
      <c r="I156" s="120"/>
    </row>
    <row r="157" spans="1:9" ht="16.5" customHeight="1" thickBot="1">
      <c r="A157" s="122"/>
      <c r="B157" s="748"/>
      <c r="C157" s="749"/>
      <c r="D157" s="750"/>
      <c r="E157" s="172" t="s">
        <v>413</v>
      </c>
      <c r="F157" s="751"/>
      <c r="G157" s="729"/>
      <c r="H157" s="739"/>
      <c r="I157" s="120"/>
    </row>
    <row r="158" spans="1:8" s="176" customFormat="1" ht="22.5" customHeight="1" thickBot="1">
      <c r="A158" s="64"/>
      <c r="B158" s="236" t="s">
        <v>780</v>
      </c>
      <c r="C158" s="236" t="s">
        <v>785</v>
      </c>
      <c r="D158" s="237" t="s">
        <v>782</v>
      </c>
      <c r="E158" s="187">
        <v>0.25</v>
      </c>
      <c r="F158" s="188" t="str">
        <f>IF(COMANDOBLOQUEADO!Y6="2007","8,34%",IF(COMANDOBLOQUEADO!Y6="2008","6,67%","5%"))</f>
        <v>5%</v>
      </c>
      <c r="G158" s="188" t="str">
        <f>IF(COMANDOBLOQUEADO!Y6="2007","18,34%",IF(COMANDOBLOQUEADO!Y6="2008","11,67%","5%"))</f>
        <v>5%</v>
      </c>
      <c r="H158" s="185"/>
    </row>
    <row r="159" spans="1:8" s="176" customFormat="1" ht="16.5" customHeight="1">
      <c r="A159" s="64"/>
      <c r="B159" s="725" t="s">
        <v>1236</v>
      </c>
      <c r="C159" s="725" t="s">
        <v>777</v>
      </c>
      <c r="D159" s="183" t="s">
        <v>415</v>
      </c>
      <c r="E159" s="170">
        <v>5453.89</v>
      </c>
      <c r="F159" s="170">
        <v>14751.6</v>
      </c>
      <c r="G159" s="170">
        <v>313.34</v>
      </c>
      <c r="H159" s="238">
        <f>E159+F159+G159</f>
        <v>20518.83</v>
      </c>
    </row>
    <row r="160" spans="1:8" s="176" customFormat="1" ht="16.5" customHeight="1" thickBot="1">
      <c r="A160" s="64"/>
      <c r="B160" s="726"/>
      <c r="C160" s="737"/>
      <c r="D160" s="184" t="s">
        <v>3</v>
      </c>
      <c r="E160" s="174">
        <v>5453.89</v>
      </c>
      <c r="F160" s="174">
        <v>14751.6</v>
      </c>
      <c r="G160" s="174">
        <v>313.34</v>
      </c>
      <c r="H160" s="175">
        <f>E160+F160+G160</f>
        <v>20518.83</v>
      </c>
    </row>
    <row r="161" spans="1:8" s="176" customFormat="1" ht="16.5" customHeight="1" thickBot="1">
      <c r="A161" s="64"/>
      <c r="B161" s="726"/>
      <c r="C161" s="738"/>
      <c r="D161" s="124" t="s">
        <v>1125</v>
      </c>
      <c r="E161" s="76">
        <f>E159-E160</f>
        <v>0</v>
      </c>
      <c r="F161" s="76">
        <f>F159-F160</f>
        <v>0</v>
      </c>
      <c r="G161" s="76">
        <f>G159-G160</f>
        <v>0</v>
      </c>
      <c r="H161" s="164">
        <f>H159-H160</f>
        <v>0</v>
      </c>
    </row>
    <row r="162" spans="1:8" s="176" customFormat="1" ht="16.5" customHeight="1">
      <c r="A162" s="64"/>
      <c r="B162" s="726"/>
      <c r="C162" s="725" t="s">
        <v>778</v>
      </c>
      <c r="D162" s="183" t="s">
        <v>416</v>
      </c>
      <c r="E162" s="170">
        <v>10002.84</v>
      </c>
      <c r="F162" s="170">
        <v>10234.62</v>
      </c>
      <c r="G162" s="170">
        <v>312.87</v>
      </c>
      <c r="H162" s="238">
        <f>E162+F162+G162</f>
        <v>20550.329999999998</v>
      </c>
    </row>
    <row r="163" spans="1:8" s="176" customFormat="1" ht="16.5" customHeight="1" thickBot="1">
      <c r="A163" s="64"/>
      <c r="B163" s="726"/>
      <c r="C163" s="726"/>
      <c r="D163" s="184" t="s">
        <v>1027</v>
      </c>
      <c r="E163" s="174">
        <v>10002.84</v>
      </c>
      <c r="F163" s="174">
        <v>10234.62</v>
      </c>
      <c r="G163" s="174">
        <v>312.87</v>
      </c>
      <c r="H163" s="175">
        <f>E163+F163+G163</f>
        <v>20550.329999999998</v>
      </c>
    </row>
    <row r="164" spans="1:8" s="176" customFormat="1" ht="16.5" customHeight="1" thickBot="1">
      <c r="A164" s="64"/>
      <c r="B164" s="726"/>
      <c r="C164" s="727"/>
      <c r="D164" s="124" t="s">
        <v>1125</v>
      </c>
      <c r="E164" s="76">
        <f>E162-E163</f>
        <v>0</v>
      </c>
      <c r="F164" s="76">
        <f>F162-F163</f>
        <v>0</v>
      </c>
      <c r="G164" s="76">
        <f>G162-G163</f>
        <v>0</v>
      </c>
      <c r="H164" s="164">
        <f>H162-H163</f>
        <v>0</v>
      </c>
    </row>
    <row r="165" spans="2:9" s="176" customFormat="1" ht="16.5" customHeight="1">
      <c r="B165" s="726"/>
      <c r="C165" s="725" t="s">
        <v>779</v>
      </c>
      <c r="D165" s="183" t="s">
        <v>417</v>
      </c>
      <c r="E165" s="170">
        <v>11729.45</v>
      </c>
      <c r="F165" s="170">
        <v>14301.86</v>
      </c>
      <c r="G165" s="170">
        <v>474.23</v>
      </c>
      <c r="H165" s="238">
        <f>E165+F165+G165</f>
        <v>26505.54</v>
      </c>
      <c r="I165" s="177"/>
    </row>
    <row r="166" spans="2:9" s="176" customFormat="1" ht="16.5" customHeight="1" thickBot="1">
      <c r="B166" s="726"/>
      <c r="C166" s="726"/>
      <c r="D166" s="184" t="s">
        <v>1028</v>
      </c>
      <c r="E166" s="174">
        <v>11729.45</v>
      </c>
      <c r="F166" s="174">
        <v>14301.86</v>
      </c>
      <c r="G166" s="174">
        <v>474.23</v>
      </c>
      <c r="H166" s="175">
        <f>E166+F166+G166</f>
        <v>26505.54</v>
      </c>
      <c r="I166" s="177"/>
    </row>
    <row r="167" spans="2:9" s="176" customFormat="1" ht="16.5" customHeight="1" thickBot="1">
      <c r="B167" s="727"/>
      <c r="C167" s="727"/>
      <c r="D167" s="124" t="s">
        <v>1125</v>
      </c>
      <c r="E167" s="76">
        <f>E165-E166</f>
        <v>0</v>
      </c>
      <c r="F167" s="76">
        <f>F165-F166</f>
        <v>0</v>
      </c>
      <c r="G167" s="76">
        <f>G165-G166</f>
        <v>0</v>
      </c>
      <c r="H167" s="164">
        <f>H165-H166</f>
        <v>0</v>
      </c>
      <c r="I167" s="177"/>
    </row>
    <row r="168" spans="1:8" s="176" customFormat="1" ht="22.5" customHeight="1" thickBot="1">
      <c r="A168" s="64"/>
      <c r="B168" s="239" t="s">
        <v>780</v>
      </c>
      <c r="C168" s="239" t="s">
        <v>781</v>
      </c>
      <c r="D168" s="240" t="s">
        <v>782</v>
      </c>
      <c r="E168" s="182">
        <v>0.25</v>
      </c>
      <c r="F168" s="188" t="str">
        <f>IF(COMANDOBLOQUEADO!Y6="2007","8,34%",IF(COMANDOBLOQUEADO!Y6="2008","6,67%","5%"))</f>
        <v>5%</v>
      </c>
      <c r="G168" s="188" t="str">
        <f>IF(COMANDOBLOQUEADO!Y6="2007","18,34%",IF(COMANDOBLOQUEADO!Y6="2008","11,67%","5%"))</f>
        <v>5%</v>
      </c>
      <c r="H168" s="185"/>
    </row>
    <row r="169" spans="1:8" s="176" customFormat="1" ht="16.5" customHeight="1">
      <c r="A169" s="64"/>
      <c r="B169" s="736" t="s">
        <v>1237</v>
      </c>
      <c r="C169" s="725" t="s">
        <v>777</v>
      </c>
      <c r="D169" s="183" t="s">
        <v>415</v>
      </c>
      <c r="E169" s="170">
        <v>4281.83</v>
      </c>
      <c r="F169" s="170">
        <v>19549.86</v>
      </c>
      <c r="G169" s="170">
        <v>439.5</v>
      </c>
      <c r="H169" s="238">
        <f>E169+F169+G169</f>
        <v>24271.190000000002</v>
      </c>
    </row>
    <row r="170" spans="1:8" s="176" customFormat="1" ht="16.5" customHeight="1" thickBot="1">
      <c r="A170" s="64"/>
      <c r="B170" s="726"/>
      <c r="C170" s="726"/>
      <c r="D170" s="184" t="s">
        <v>3</v>
      </c>
      <c r="E170" s="174">
        <v>4281.83</v>
      </c>
      <c r="F170" s="174">
        <v>19549.86</v>
      </c>
      <c r="G170" s="174">
        <v>439.5</v>
      </c>
      <c r="H170" s="175">
        <f>E170+F170+G170</f>
        <v>24271.190000000002</v>
      </c>
    </row>
    <row r="171" spans="1:8" s="176" customFormat="1" ht="16.5" customHeight="1" thickBot="1">
      <c r="A171" s="64"/>
      <c r="B171" s="726"/>
      <c r="C171" s="727"/>
      <c r="D171" s="124" t="s">
        <v>1125</v>
      </c>
      <c r="E171" s="76">
        <f>E169-E170</f>
        <v>0</v>
      </c>
      <c r="F171" s="76">
        <f>F169-F170</f>
        <v>0</v>
      </c>
      <c r="G171" s="76">
        <f>G169-G170</f>
        <v>0</v>
      </c>
      <c r="H171" s="164">
        <f>H169-H170</f>
        <v>0</v>
      </c>
    </row>
    <row r="172" spans="1:8" s="176" customFormat="1" ht="16.5" customHeight="1">
      <c r="A172" s="64"/>
      <c r="B172" s="726"/>
      <c r="C172" s="725" t="s">
        <v>778</v>
      </c>
      <c r="D172" s="183" t="s">
        <v>416</v>
      </c>
      <c r="E172" s="170">
        <v>15180.9</v>
      </c>
      <c r="F172" s="170">
        <v>13731.43</v>
      </c>
      <c r="G172" s="170">
        <v>573.99</v>
      </c>
      <c r="H172" s="238">
        <f>E172+F172+G172</f>
        <v>29486.320000000003</v>
      </c>
    </row>
    <row r="173" spans="1:8" s="176" customFormat="1" ht="16.5" customHeight="1" thickBot="1">
      <c r="A173" s="64"/>
      <c r="B173" s="726"/>
      <c r="C173" s="726"/>
      <c r="D173" s="184" t="s">
        <v>1027</v>
      </c>
      <c r="E173" s="174">
        <v>15180.9</v>
      </c>
      <c r="F173" s="174">
        <v>13731.43</v>
      </c>
      <c r="G173" s="174">
        <v>573.99</v>
      </c>
      <c r="H173" s="175">
        <f>E173+F173+G173</f>
        <v>29486.320000000003</v>
      </c>
    </row>
    <row r="174" spans="1:8" s="176" customFormat="1" ht="16.5" customHeight="1" thickBot="1">
      <c r="A174" s="64"/>
      <c r="B174" s="726"/>
      <c r="C174" s="727"/>
      <c r="D174" s="124" t="s">
        <v>1125</v>
      </c>
      <c r="E174" s="76">
        <f>E172-E173</f>
        <v>0</v>
      </c>
      <c r="F174" s="76">
        <f>F172-F173</f>
        <v>0</v>
      </c>
      <c r="G174" s="76">
        <f>G172-G173</f>
        <v>0</v>
      </c>
      <c r="H174" s="164">
        <f>H172-H173</f>
        <v>0</v>
      </c>
    </row>
    <row r="175" spans="2:9" s="176" customFormat="1" ht="16.5" customHeight="1">
      <c r="B175" s="726"/>
      <c r="C175" s="736" t="s">
        <v>779</v>
      </c>
      <c r="D175" s="183" t="s">
        <v>417</v>
      </c>
      <c r="E175" s="170">
        <v>11253.12</v>
      </c>
      <c r="F175" s="170">
        <v>11215.46</v>
      </c>
      <c r="G175" s="170">
        <v>725.28</v>
      </c>
      <c r="H175" s="238">
        <f>E175+F175+G175</f>
        <v>23193.86</v>
      </c>
      <c r="I175" s="177"/>
    </row>
    <row r="176" spans="2:9" s="176" customFormat="1" ht="16.5" customHeight="1" thickBot="1">
      <c r="B176" s="726"/>
      <c r="C176" s="726"/>
      <c r="D176" s="184" t="s">
        <v>1028</v>
      </c>
      <c r="E176" s="174">
        <v>11253.12</v>
      </c>
      <c r="F176" s="174">
        <v>11215.46</v>
      </c>
      <c r="G176" s="174">
        <v>725.28</v>
      </c>
      <c r="H176" s="175">
        <f>E176+F176+G176</f>
        <v>23193.86</v>
      </c>
      <c r="I176" s="177"/>
    </row>
    <row r="177" spans="2:9" s="176" customFormat="1" ht="16.5" customHeight="1" thickBot="1">
      <c r="B177" s="727"/>
      <c r="C177" s="727"/>
      <c r="D177" s="124" t="s">
        <v>1125</v>
      </c>
      <c r="E177" s="76">
        <f>E175-E176</f>
        <v>0</v>
      </c>
      <c r="F177" s="76">
        <f>F175-F176</f>
        <v>0</v>
      </c>
      <c r="G177" s="76">
        <f>G175-G176</f>
        <v>0</v>
      </c>
      <c r="H177" s="164">
        <f>H175-H176</f>
        <v>0</v>
      </c>
      <c r="I177" s="177"/>
    </row>
    <row r="178" spans="1:8" s="176" customFormat="1" ht="22.5" customHeight="1" thickBot="1">
      <c r="A178" s="64"/>
      <c r="B178" s="239" t="s">
        <v>780</v>
      </c>
      <c r="C178" s="239" t="s">
        <v>781</v>
      </c>
      <c r="D178" s="240" t="s">
        <v>782</v>
      </c>
      <c r="E178" s="182">
        <v>0.25</v>
      </c>
      <c r="F178" s="188" t="str">
        <f>IF(COMANDOBLOQUEADO!Y6="2007","8,34%",IF(COMANDOBLOQUEADO!Y6="2008","6,67%","5%"))</f>
        <v>5%</v>
      </c>
      <c r="G178" s="188" t="str">
        <f>IF(COMANDOBLOQUEADO!Y6="2007","18,34%",IF(COMANDOBLOQUEADO!Y6="2008","11,67%","5%"))</f>
        <v>5%</v>
      </c>
      <c r="H178" s="185"/>
    </row>
    <row r="179" spans="1:8" s="176" customFormat="1" ht="16.5" customHeight="1">
      <c r="A179" s="64"/>
      <c r="B179" s="736" t="s">
        <v>1238</v>
      </c>
      <c r="C179" s="725" t="s">
        <v>777</v>
      </c>
      <c r="D179" s="183" t="s">
        <v>415</v>
      </c>
      <c r="E179" s="170">
        <v>10360.26</v>
      </c>
      <c r="F179" s="170">
        <v>25512.47</v>
      </c>
      <c r="G179" s="170">
        <v>1118.71</v>
      </c>
      <c r="H179" s="238">
        <f>E179+F179+G179</f>
        <v>36991.44</v>
      </c>
    </row>
    <row r="180" spans="1:8" s="176" customFormat="1" ht="16.5" customHeight="1" thickBot="1">
      <c r="A180" s="64"/>
      <c r="B180" s="726"/>
      <c r="C180" s="726"/>
      <c r="D180" s="184" t="s">
        <v>3</v>
      </c>
      <c r="E180" s="174">
        <v>10360.26</v>
      </c>
      <c r="F180" s="174">
        <v>25512.47</v>
      </c>
      <c r="G180" s="174">
        <v>1118.71</v>
      </c>
      <c r="H180" s="175">
        <f>E180+F180+G180</f>
        <v>36991.44</v>
      </c>
    </row>
    <row r="181" spans="1:8" s="176" customFormat="1" ht="16.5" customHeight="1" thickBot="1">
      <c r="A181" s="64"/>
      <c r="B181" s="726"/>
      <c r="C181" s="727"/>
      <c r="D181" s="124" t="s">
        <v>1125</v>
      </c>
      <c r="E181" s="76">
        <f>E179-E180</f>
        <v>0</v>
      </c>
      <c r="F181" s="76">
        <f>F179-F180</f>
        <v>0</v>
      </c>
      <c r="G181" s="76">
        <f>G179-G180</f>
        <v>0</v>
      </c>
      <c r="H181" s="164">
        <f>H179-H180</f>
        <v>0</v>
      </c>
    </row>
    <row r="182" spans="1:8" s="176" customFormat="1" ht="16.5" customHeight="1">
      <c r="A182" s="64"/>
      <c r="B182" s="726"/>
      <c r="C182" s="725" t="s">
        <v>778</v>
      </c>
      <c r="D182" s="183" t="s">
        <v>416</v>
      </c>
      <c r="E182" s="170">
        <v>11819.36</v>
      </c>
      <c r="F182" s="170">
        <v>4277.2</v>
      </c>
      <c r="G182" s="170">
        <v>825.94</v>
      </c>
      <c r="H182" s="238">
        <f>E182+F182+G182</f>
        <v>16922.5</v>
      </c>
    </row>
    <row r="183" spans="1:8" s="176" customFormat="1" ht="16.5" customHeight="1" thickBot="1">
      <c r="A183" s="64"/>
      <c r="B183" s="726"/>
      <c r="C183" s="726"/>
      <c r="D183" s="184" t="s">
        <v>1027</v>
      </c>
      <c r="E183" s="174">
        <v>11819.36</v>
      </c>
      <c r="F183" s="174">
        <v>4277.2</v>
      </c>
      <c r="G183" s="174">
        <v>825.94</v>
      </c>
      <c r="H183" s="175">
        <f>E183+F183+G183</f>
        <v>16922.5</v>
      </c>
    </row>
    <row r="184" spans="1:8" s="176" customFormat="1" ht="16.5" customHeight="1" thickBot="1">
      <c r="A184" s="64"/>
      <c r="B184" s="726"/>
      <c r="C184" s="727"/>
      <c r="D184" s="124" t="s">
        <v>1125</v>
      </c>
      <c r="E184" s="76">
        <f>E182-E183</f>
        <v>0</v>
      </c>
      <c r="F184" s="76">
        <f>F182-F183</f>
        <v>0</v>
      </c>
      <c r="G184" s="76">
        <f>G182-G183</f>
        <v>0</v>
      </c>
      <c r="H184" s="164">
        <f>H182-H183</f>
        <v>0</v>
      </c>
    </row>
    <row r="185" spans="2:9" s="176" customFormat="1" ht="16.5" customHeight="1">
      <c r="B185" s="726"/>
      <c r="C185" s="725" t="s">
        <v>779</v>
      </c>
      <c r="D185" s="183" t="s">
        <v>417</v>
      </c>
      <c r="E185" s="170">
        <v>15250.34</v>
      </c>
      <c r="F185" s="170">
        <v>14764.06</v>
      </c>
      <c r="G185" s="170">
        <v>751.54</v>
      </c>
      <c r="H185" s="238">
        <f>E185+F185+G185</f>
        <v>30765.940000000002</v>
      </c>
      <c r="I185" s="177"/>
    </row>
    <row r="186" spans="2:9" s="176" customFormat="1" ht="16.5" customHeight="1" thickBot="1">
      <c r="B186" s="726"/>
      <c r="C186" s="726"/>
      <c r="D186" s="184" t="s">
        <v>1028</v>
      </c>
      <c r="E186" s="174">
        <v>15250.34</v>
      </c>
      <c r="F186" s="174">
        <v>14764.06</v>
      </c>
      <c r="G186" s="174">
        <v>751.54</v>
      </c>
      <c r="H186" s="175">
        <f>E186+F186+G186</f>
        <v>30765.940000000002</v>
      </c>
      <c r="I186" s="177"/>
    </row>
    <row r="187" spans="2:9" s="176" customFormat="1" ht="16.5" customHeight="1" thickBot="1">
      <c r="B187" s="727"/>
      <c r="C187" s="727"/>
      <c r="D187" s="190" t="s">
        <v>1125</v>
      </c>
      <c r="E187" s="76">
        <f>E185-E186</f>
        <v>0</v>
      </c>
      <c r="F187" s="76">
        <f>F185-F186</f>
        <v>0</v>
      </c>
      <c r="G187" s="76">
        <f>G185-G186</f>
        <v>0</v>
      </c>
      <c r="H187" s="164">
        <f>H185-H186</f>
        <v>0</v>
      </c>
      <c r="I187" s="177"/>
    </row>
    <row r="188" spans="1:8" s="176" customFormat="1" ht="22.5" customHeight="1" thickBot="1">
      <c r="A188" s="64"/>
      <c r="B188" s="730" t="s">
        <v>1005</v>
      </c>
      <c r="C188" s="731"/>
      <c r="D188" s="240" t="s">
        <v>782</v>
      </c>
      <c r="E188" s="182">
        <v>0.25</v>
      </c>
      <c r="F188" s="188" t="str">
        <f>IF(COMANDOBLOQUEADO!Y6="2007","8,34%",IF(COMANDOBLOQUEADO!Y6="2008","6,67%","5%"))</f>
        <v>5%</v>
      </c>
      <c r="G188" s="188" t="str">
        <f>IF(COMANDOBLOQUEADO!Y6="2007","18,34%",IF(COMANDOBLOQUEADO!Y6="2008","11,67%","5%"))</f>
        <v>5%</v>
      </c>
      <c r="H188" s="185"/>
    </row>
    <row r="189" spans="1:8" s="176" customFormat="1" ht="16.5" customHeight="1">
      <c r="A189" s="64"/>
      <c r="B189" s="732"/>
      <c r="C189" s="733"/>
      <c r="D189" s="183" t="s">
        <v>1211</v>
      </c>
      <c r="E189" s="171">
        <f aca="true" t="shared" si="2" ref="E189:H190">E159+E162+E165+E169+E172+E175+E179+E182+E185</f>
        <v>95331.99</v>
      </c>
      <c r="F189" s="171">
        <f t="shared" si="2"/>
        <v>128338.55999999998</v>
      </c>
      <c r="G189" s="171">
        <f t="shared" si="2"/>
        <v>5535.400000000001</v>
      </c>
      <c r="H189" s="238">
        <f t="shared" si="2"/>
        <v>229205.95</v>
      </c>
    </row>
    <row r="190" spans="1:8" s="176" customFormat="1" ht="16.5" customHeight="1" thickBot="1">
      <c r="A190" s="64"/>
      <c r="B190" s="732"/>
      <c r="C190" s="733"/>
      <c r="D190" s="184" t="s">
        <v>1029</v>
      </c>
      <c r="E190" s="145">
        <f t="shared" si="2"/>
        <v>95331.99</v>
      </c>
      <c r="F190" s="145">
        <f t="shared" si="2"/>
        <v>128338.55999999998</v>
      </c>
      <c r="G190" s="145">
        <f t="shared" si="2"/>
        <v>5535.400000000001</v>
      </c>
      <c r="H190" s="241">
        <f t="shared" si="2"/>
        <v>229205.95</v>
      </c>
    </row>
    <row r="191" spans="1:8" s="176" customFormat="1" ht="16.5" customHeight="1" thickBot="1">
      <c r="A191" s="64"/>
      <c r="B191" s="734"/>
      <c r="C191" s="735"/>
      <c r="D191" s="124" t="s">
        <v>1125</v>
      </c>
      <c r="E191" s="76">
        <f>E189-E190</f>
        <v>0</v>
      </c>
      <c r="F191" s="76">
        <f>F189-F190</f>
        <v>0</v>
      </c>
      <c r="G191" s="76">
        <f>G189-G190</f>
        <v>0</v>
      </c>
      <c r="H191" s="164">
        <f>H189-H190</f>
        <v>0</v>
      </c>
    </row>
    <row r="192" s="176" customFormat="1" ht="14.25"/>
    <row r="193" s="176" customFormat="1" ht="14.25"/>
    <row r="194" s="176" customFormat="1" ht="14.25"/>
    <row r="195" s="176" customFormat="1" ht="14.25"/>
    <row r="196" s="176" customFormat="1" ht="14.25"/>
    <row r="197" s="176" customFormat="1" ht="14.25"/>
    <row r="198" s="176" customFormat="1" ht="14.25"/>
    <row r="199" s="176" customFormat="1" ht="14.25"/>
    <row r="200" s="176" customFormat="1" ht="14.25"/>
    <row r="201" s="176" customFormat="1" ht="14.25"/>
    <row r="202" s="176" customFormat="1" ht="14.25"/>
    <row r="203" s="176" customFormat="1" ht="14.25"/>
    <row r="204" s="176" customFormat="1" ht="14.25"/>
    <row r="205" s="176" customFormat="1" ht="14.25"/>
    <row r="206" s="176" customFormat="1" ht="14.25"/>
    <row r="207" s="176" customFormat="1" ht="14.25"/>
    <row r="208" s="176" customFormat="1" ht="14.25"/>
    <row r="209" s="176" customFormat="1" ht="14.25"/>
    <row r="210" s="176" customFormat="1" ht="14.25"/>
    <row r="211" s="176" customFormat="1" ht="14.25"/>
    <row r="212" s="176" customFormat="1" ht="14.25"/>
    <row r="213" s="176" customFormat="1" ht="14.25"/>
    <row r="214" s="176" customFormat="1" ht="14.25"/>
    <row r="215" s="176" customFormat="1" ht="14.25"/>
    <row r="216" s="176" customFormat="1" ht="14.25"/>
    <row r="217" s="176" customFormat="1" ht="14.25"/>
    <row r="218" s="176" customFormat="1" ht="14.25"/>
    <row r="219" s="176" customFormat="1" ht="14.25"/>
    <row r="220" s="176" customFormat="1" ht="14.25"/>
    <row r="221" s="176" customFormat="1" ht="14.25"/>
    <row r="222" s="176" customFormat="1" ht="14.25"/>
    <row r="223" s="176" customFormat="1" ht="14.25"/>
    <row r="224" s="176" customFormat="1" ht="14.25"/>
    <row r="225" spans="1:9" ht="0.75" customHeight="1">
      <c r="A225" s="119"/>
      <c r="B225" s="119"/>
      <c r="C225" s="120"/>
      <c r="D225" s="120"/>
      <c r="E225" s="120"/>
      <c r="F225" s="120"/>
      <c r="G225" s="120"/>
      <c r="H225" s="120"/>
      <c r="I225" s="120"/>
    </row>
    <row r="226" spans="1:9" ht="12.75" customHeight="1">
      <c r="A226" s="119"/>
      <c r="B226" s="677" t="s">
        <v>1143</v>
      </c>
      <c r="C226" s="740"/>
      <c r="D226" s="744" t="str">
        <f>COMANDOBLOQUEADO!S19</f>
        <v>CESÁRIO LANGE</v>
      </c>
      <c r="E226" s="572"/>
      <c r="F226" s="685" t="s">
        <v>268</v>
      </c>
      <c r="G226" s="682" t="str">
        <f>COMANDOBLOQUEADO!U6</f>
        <v>4º TRIMESTRE</v>
      </c>
      <c r="H226" s="682" t="str">
        <f>COMANDOBLOQUEADO!Y6</f>
        <v>2009</v>
      </c>
      <c r="I226" s="120"/>
    </row>
    <row r="227" spans="1:9" ht="12.75" customHeight="1">
      <c r="A227" s="119"/>
      <c r="B227" s="677"/>
      <c r="C227" s="740"/>
      <c r="D227" s="572"/>
      <c r="E227" s="572"/>
      <c r="F227" s="683"/>
      <c r="G227" s="682"/>
      <c r="H227" s="682"/>
      <c r="I227" s="120"/>
    </row>
    <row r="228" spans="1:9" ht="19.5" customHeight="1">
      <c r="A228" s="120"/>
      <c r="B228" s="120"/>
      <c r="C228" s="154"/>
      <c r="D228" s="57"/>
      <c r="E228" s="57"/>
      <c r="F228" s="57"/>
      <c r="G228" s="57"/>
      <c r="H228" s="57"/>
      <c r="I228" s="120"/>
    </row>
    <row r="229" spans="1:13" ht="21" customHeight="1">
      <c r="A229" s="140"/>
      <c r="B229" s="140"/>
      <c r="C229" s="741" t="s">
        <v>1245</v>
      </c>
      <c r="D229" s="742"/>
      <c r="E229" s="742"/>
      <c r="F229" s="742"/>
      <c r="G229" s="742"/>
      <c r="H229" s="742"/>
      <c r="I229" s="742"/>
      <c r="J229" s="742"/>
      <c r="K229" s="743"/>
      <c r="L229" s="743"/>
      <c r="M229" s="743"/>
    </row>
    <row r="230" spans="1:13" ht="19.5" customHeight="1" thickBot="1">
      <c r="A230" s="140"/>
      <c r="B230" s="140"/>
      <c r="C230" s="178"/>
      <c r="D230" s="179"/>
      <c r="E230" s="179"/>
      <c r="F230" s="179"/>
      <c r="G230" s="179"/>
      <c r="H230" s="179"/>
      <c r="I230" s="179"/>
      <c r="J230" s="179"/>
      <c r="K230" s="186"/>
      <c r="L230" s="186"/>
      <c r="M230" s="186"/>
    </row>
    <row r="231" spans="1:9" ht="16.5" customHeight="1">
      <c r="A231" s="122"/>
      <c r="B231" s="745" t="s">
        <v>297</v>
      </c>
      <c r="C231" s="746"/>
      <c r="D231" s="747"/>
      <c r="E231" s="189" t="s">
        <v>414</v>
      </c>
      <c r="F231" s="668" t="s">
        <v>783</v>
      </c>
      <c r="G231" s="728" t="s">
        <v>784</v>
      </c>
      <c r="H231" s="679" t="s">
        <v>767</v>
      </c>
      <c r="I231" s="120"/>
    </row>
    <row r="232" spans="1:9" ht="16.5" customHeight="1" thickBot="1">
      <c r="A232" s="122"/>
      <c r="B232" s="748"/>
      <c r="C232" s="749"/>
      <c r="D232" s="750"/>
      <c r="E232" s="172" t="s">
        <v>413</v>
      </c>
      <c r="F232" s="751"/>
      <c r="G232" s="729"/>
      <c r="H232" s="739"/>
      <c r="I232" s="120"/>
    </row>
    <row r="233" spans="1:8" s="176" customFormat="1" ht="22.5" customHeight="1" thickBot="1">
      <c r="A233" s="64"/>
      <c r="B233" s="236" t="s">
        <v>780</v>
      </c>
      <c r="C233" s="236" t="s">
        <v>785</v>
      </c>
      <c r="D233" s="237" t="s">
        <v>782</v>
      </c>
      <c r="E233" s="187">
        <v>0.25</v>
      </c>
      <c r="F233" s="188" t="str">
        <f>IF(COMANDOBLOQUEADO!Y6="2007","8,34%",IF(COMANDOBLOQUEADO!Y6="2008","6,67%","5%"))</f>
        <v>5%</v>
      </c>
      <c r="G233" s="188" t="str">
        <f>IF(COMANDOBLOQUEADO!Y6="2007","18,34%",IF(COMANDOBLOQUEADO!Y6="2008","11,67%","5%"))</f>
        <v>5%</v>
      </c>
      <c r="H233" s="185"/>
    </row>
    <row r="234" spans="1:8" s="176" customFormat="1" ht="16.5" customHeight="1">
      <c r="A234" s="64"/>
      <c r="B234" s="725" t="s">
        <v>1239</v>
      </c>
      <c r="C234" s="725" t="s">
        <v>777</v>
      </c>
      <c r="D234" s="183" t="s">
        <v>415</v>
      </c>
      <c r="E234" s="170">
        <v>11129.93</v>
      </c>
      <c r="F234" s="170">
        <v>17989.58</v>
      </c>
      <c r="G234" s="170">
        <v>663.16</v>
      </c>
      <c r="H234" s="238">
        <f>E234+F234+G234</f>
        <v>29782.670000000002</v>
      </c>
    </row>
    <row r="235" spans="1:8" s="176" customFormat="1" ht="16.5" customHeight="1" thickBot="1">
      <c r="A235" s="64"/>
      <c r="B235" s="726"/>
      <c r="C235" s="737"/>
      <c r="D235" s="184" t="s">
        <v>3</v>
      </c>
      <c r="E235" s="174">
        <v>11129.93</v>
      </c>
      <c r="F235" s="174">
        <v>17989.58</v>
      </c>
      <c r="G235" s="174">
        <v>663.16</v>
      </c>
      <c r="H235" s="175">
        <f>E235+F235+G235</f>
        <v>29782.670000000002</v>
      </c>
    </row>
    <row r="236" spans="1:8" s="176" customFormat="1" ht="16.5" customHeight="1" thickBot="1">
      <c r="A236" s="64"/>
      <c r="B236" s="726"/>
      <c r="C236" s="738"/>
      <c r="D236" s="124" t="s">
        <v>1125</v>
      </c>
      <c r="E236" s="76">
        <f>E234-E235</f>
        <v>0</v>
      </c>
      <c r="F236" s="76">
        <f>F234-F235</f>
        <v>0</v>
      </c>
      <c r="G236" s="76">
        <f>G234-G235</f>
        <v>0</v>
      </c>
      <c r="H236" s="164">
        <f>H234-H235</f>
        <v>0</v>
      </c>
    </row>
    <row r="237" spans="1:8" s="176" customFormat="1" ht="16.5" customHeight="1">
      <c r="A237" s="64"/>
      <c r="B237" s="726"/>
      <c r="C237" s="725" t="s">
        <v>778</v>
      </c>
      <c r="D237" s="183" t="s">
        <v>416</v>
      </c>
      <c r="E237" s="170">
        <v>38041.31</v>
      </c>
      <c r="F237" s="170">
        <v>30968.33</v>
      </c>
      <c r="G237" s="170">
        <v>1293.96</v>
      </c>
      <c r="H237" s="238">
        <f>E237+F237+G237</f>
        <v>70303.6</v>
      </c>
    </row>
    <row r="238" spans="1:8" s="176" customFormat="1" ht="16.5" customHeight="1" thickBot="1">
      <c r="A238" s="64"/>
      <c r="B238" s="726"/>
      <c r="C238" s="726"/>
      <c r="D238" s="184" t="s">
        <v>1027</v>
      </c>
      <c r="E238" s="174">
        <v>38041.31</v>
      </c>
      <c r="F238" s="174">
        <v>30968.33</v>
      </c>
      <c r="G238" s="174">
        <v>1293.96</v>
      </c>
      <c r="H238" s="175">
        <f>E238+F238+G238</f>
        <v>70303.6</v>
      </c>
    </row>
    <row r="239" spans="1:8" s="176" customFormat="1" ht="16.5" customHeight="1" thickBot="1">
      <c r="A239" s="64"/>
      <c r="B239" s="726"/>
      <c r="C239" s="727"/>
      <c r="D239" s="124" t="s">
        <v>1125</v>
      </c>
      <c r="E239" s="76">
        <f>E237-E238</f>
        <v>0</v>
      </c>
      <c r="F239" s="76">
        <f>F237-F238</f>
        <v>0</v>
      </c>
      <c r="G239" s="76">
        <f>G237-G238</f>
        <v>0</v>
      </c>
      <c r="H239" s="164">
        <f>H237-H238</f>
        <v>0</v>
      </c>
    </row>
    <row r="240" spans="2:9" s="176" customFormat="1" ht="16.5" customHeight="1">
      <c r="B240" s="726"/>
      <c r="C240" s="725" t="s">
        <v>779</v>
      </c>
      <c r="D240" s="183" t="s">
        <v>417</v>
      </c>
      <c r="E240" s="170">
        <v>10555.11</v>
      </c>
      <c r="F240" s="170">
        <v>12571.33</v>
      </c>
      <c r="G240" s="170">
        <v>589.69</v>
      </c>
      <c r="H240" s="238">
        <f>E240+F240+G240</f>
        <v>23716.13</v>
      </c>
      <c r="I240" s="177"/>
    </row>
    <row r="241" spans="2:9" s="176" customFormat="1" ht="16.5" customHeight="1" thickBot="1">
      <c r="B241" s="726"/>
      <c r="C241" s="726"/>
      <c r="D241" s="184" t="s">
        <v>1028</v>
      </c>
      <c r="E241" s="174">
        <v>10555.11</v>
      </c>
      <c r="F241" s="174">
        <v>12571.33</v>
      </c>
      <c r="G241" s="174">
        <v>589.69</v>
      </c>
      <c r="H241" s="175">
        <f>E241+F241+G241</f>
        <v>23716.13</v>
      </c>
      <c r="I241" s="177"/>
    </row>
    <row r="242" spans="2:9" s="176" customFormat="1" ht="16.5" customHeight="1" thickBot="1">
      <c r="B242" s="727"/>
      <c r="C242" s="727"/>
      <c r="D242" s="124" t="s">
        <v>1125</v>
      </c>
      <c r="E242" s="76">
        <f>E240-E241</f>
        <v>0</v>
      </c>
      <c r="F242" s="76">
        <f>F240-F241</f>
        <v>0</v>
      </c>
      <c r="G242" s="76">
        <f>G240-G241</f>
        <v>0</v>
      </c>
      <c r="H242" s="164">
        <f>H240-H241</f>
        <v>0</v>
      </c>
      <c r="I242" s="177"/>
    </row>
    <row r="243" spans="1:8" s="176" customFormat="1" ht="22.5" customHeight="1" thickBot="1">
      <c r="A243" s="64"/>
      <c r="B243" s="239" t="s">
        <v>780</v>
      </c>
      <c r="C243" s="239" t="s">
        <v>781</v>
      </c>
      <c r="D243" s="240" t="s">
        <v>782</v>
      </c>
      <c r="E243" s="182">
        <v>0.25</v>
      </c>
      <c r="F243" s="188" t="str">
        <f>IF(COMANDOBLOQUEADO!Y6="2007","8,34%",IF(COMANDOBLOQUEADO!Y6="2008","6,67%","5%"))</f>
        <v>5%</v>
      </c>
      <c r="G243" s="188" t="str">
        <f>IF(COMANDOBLOQUEADO!Y6="2007","18,34%",IF(COMANDOBLOQUEADO!Y6="2008","11,67%","5%"))</f>
        <v>5%</v>
      </c>
      <c r="H243" s="185"/>
    </row>
    <row r="244" spans="1:8" s="176" customFormat="1" ht="16.5" customHeight="1">
      <c r="A244" s="64"/>
      <c r="B244" s="736" t="s">
        <v>1240</v>
      </c>
      <c r="C244" s="725" t="s">
        <v>777</v>
      </c>
      <c r="D244" s="183" t="s">
        <v>415</v>
      </c>
      <c r="E244" s="170">
        <v>19923.71</v>
      </c>
      <c r="F244" s="170">
        <v>35135.98</v>
      </c>
      <c r="G244" s="170">
        <v>370.68</v>
      </c>
      <c r="H244" s="238">
        <f>E244+F244+G244</f>
        <v>55430.37</v>
      </c>
    </row>
    <row r="245" spans="1:8" s="176" customFormat="1" ht="16.5" customHeight="1" thickBot="1">
      <c r="A245" s="64"/>
      <c r="B245" s="726"/>
      <c r="C245" s="726"/>
      <c r="D245" s="184" t="s">
        <v>3</v>
      </c>
      <c r="E245" s="174">
        <v>19923.71</v>
      </c>
      <c r="F245" s="174">
        <v>35135.98</v>
      </c>
      <c r="G245" s="174">
        <v>370.68</v>
      </c>
      <c r="H245" s="175">
        <f>E245+F245+G245</f>
        <v>55430.37</v>
      </c>
    </row>
    <row r="246" spans="1:8" s="176" customFormat="1" ht="16.5" customHeight="1" thickBot="1">
      <c r="A246" s="64"/>
      <c r="B246" s="726"/>
      <c r="C246" s="727"/>
      <c r="D246" s="124" t="s">
        <v>1125</v>
      </c>
      <c r="E246" s="76">
        <f>E244-E245</f>
        <v>0</v>
      </c>
      <c r="F246" s="76">
        <f>F244-F245</f>
        <v>0</v>
      </c>
      <c r="G246" s="76">
        <f>G244-G245</f>
        <v>0</v>
      </c>
      <c r="H246" s="164">
        <f>H244-H245</f>
        <v>0</v>
      </c>
    </row>
    <row r="247" spans="1:8" s="176" customFormat="1" ht="16.5" customHeight="1">
      <c r="A247" s="64"/>
      <c r="B247" s="726"/>
      <c r="C247" s="725" t="s">
        <v>778</v>
      </c>
      <c r="D247" s="183" t="s">
        <v>416</v>
      </c>
      <c r="E247" s="170">
        <v>17370.27</v>
      </c>
      <c r="F247" s="170">
        <v>5571.35</v>
      </c>
      <c r="G247" s="170">
        <v>525.94</v>
      </c>
      <c r="H247" s="238">
        <f>E247+F247+G247</f>
        <v>23467.56</v>
      </c>
    </row>
    <row r="248" spans="1:8" s="176" customFormat="1" ht="16.5" customHeight="1" thickBot="1">
      <c r="A248" s="64"/>
      <c r="B248" s="726"/>
      <c r="C248" s="726"/>
      <c r="D248" s="184" t="s">
        <v>1027</v>
      </c>
      <c r="E248" s="174">
        <v>17370.27</v>
      </c>
      <c r="F248" s="174">
        <v>5571.35</v>
      </c>
      <c r="G248" s="174">
        <v>525.94</v>
      </c>
      <c r="H248" s="175">
        <f>E248+F248+G248</f>
        <v>23467.56</v>
      </c>
    </row>
    <row r="249" spans="1:8" s="176" customFormat="1" ht="16.5" customHeight="1" thickBot="1">
      <c r="A249" s="64"/>
      <c r="B249" s="726"/>
      <c r="C249" s="727"/>
      <c r="D249" s="124" t="s">
        <v>1125</v>
      </c>
      <c r="E249" s="76">
        <f>E247-E248</f>
        <v>0</v>
      </c>
      <c r="F249" s="76">
        <f>F247-F248</f>
        <v>0</v>
      </c>
      <c r="G249" s="76">
        <f>G247-G248</f>
        <v>0</v>
      </c>
      <c r="H249" s="164">
        <f>H247-H248</f>
        <v>0</v>
      </c>
    </row>
    <row r="250" spans="2:9" s="176" customFormat="1" ht="16.5" customHeight="1">
      <c r="B250" s="726"/>
      <c r="C250" s="736" t="s">
        <v>779</v>
      </c>
      <c r="D250" s="183" t="s">
        <v>417</v>
      </c>
      <c r="E250" s="170">
        <v>17158.86</v>
      </c>
      <c r="F250" s="170">
        <v>12146.42</v>
      </c>
      <c r="G250" s="170">
        <v>257.59</v>
      </c>
      <c r="H250" s="238">
        <f>E250+F250+G250</f>
        <v>29562.87</v>
      </c>
      <c r="I250" s="177"/>
    </row>
    <row r="251" spans="2:9" s="176" customFormat="1" ht="16.5" customHeight="1" thickBot="1">
      <c r="B251" s="726"/>
      <c r="C251" s="726"/>
      <c r="D251" s="184" t="s">
        <v>1028</v>
      </c>
      <c r="E251" s="174">
        <v>17158.86</v>
      </c>
      <c r="F251" s="174">
        <v>12146.42</v>
      </c>
      <c r="G251" s="174">
        <v>257.59</v>
      </c>
      <c r="H251" s="175">
        <f>E251+F251+G251</f>
        <v>29562.87</v>
      </c>
      <c r="I251" s="177"/>
    </row>
    <row r="252" spans="2:9" s="176" customFormat="1" ht="16.5" customHeight="1" thickBot="1">
      <c r="B252" s="727"/>
      <c r="C252" s="727"/>
      <c r="D252" s="124" t="s">
        <v>1125</v>
      </c>
      <c r="E252" s="76">
        <f>E250-E251</f>
        <v>0</v>
      </c>
      <c r="F252" s="76">
        <f>F250-F251</f>
        <v>0</v>
      </c>
      <c r="G252" s="76">
        <f>G250-G251</f>
        <v>0</v>
      </c>
      <c r="H252" s="164">
        <f>H250-H251</f>
        <v>0</v>
      </c>
      <c r="I252" s="177"/>
    </row>
    <row r="253" spans="1:8" s="176" customFormat="1" ht="22.5" customHeight="1" thickBot="1">
      <c r="A253" s="64"/>
      <c r="B253" s="239" t="s">
        <v>780</v>
      </c>
      <c r="C253" s="239" t="s">
        <v>781</v>
      </c>
      <c r="D253" s="240" t="s">
        <v>782</v>
      </c>
      <c r="E253" s="182">
        <v>0.25</v>
      </c>
      <c r="F253" s="188" t="str">
        <f>IF(COMANDOBLOQUEADO!Y6="2007","8,34%",IF(COMANDOBLOQUEADO!Y6="2008","6,67%","5%"))</f>
        <v>5%</v>
      </c>
      <c r="G253" s="188" t="str">
        <f>IF(COMANDOBLOQUEADO!Y6="2007","18,34%",IF(COMANDOBLOQUEADO!Y6="2008","11,67%","5%"))</f>
        <v>5%</v>
      </c>
      <c r="H253" s="185"/>
    </row>
    <row r="254" spans="1:8" s="176" customFormat="1" ht="16.5" customHeight="1">
      <c r="A254" s="64"/>
      <c r="B254" s="736" t="s">
        <v>1241</v>
      </c>
      <c r="C254" s="725" t="s">
        <v>777</v>
      </c>
      <c r="D254" s="183" t="s">
        <v>415</v>
      </c>
      <c r="E254" s="170">
        <v>11142.82</v>
      </c>
      <c r="F254" s="170">
        <v>107735.12</v>
      </c>
      <c r="G254" s="170">
        <v>604.82</v>
      </c>
      <c r="H254" s="238">
        <f>E254+F254+G254</f>
        <v>119482.76000000001</v>
      </c>
    </row>
    <row r="255" spans="1:8" s="176" customFormat="1" ht="16.5" customHeight="1" thickBot="1">
      <c r="A255" s="64"/>
      <c r="B255" s="726"/>
      <c r="C255" s="726"/>
      <c r="D255" s="184" t="s">
        <v>3</v>
      </c>
      <c r="E255" s="174">
        <v>11142.82</v>
      </c>
      <c r="F255" s="174">
        <v>107735.12</v>
      </c>
      <c r="G255" s="174">
        <v>604.82</v>
      </c>
      <c r="H255" s="175">
        <f>E255+F255+G255</f>
        <v>119482.76000000001</v>
      </c>
    </row>
    <row r="256" spans="1:8" s="176" customFormat="1" ht="16.5" customHeight="1" thickBot="1">
      <c r="A256" s="64"/>
      <c r="B256" s="726"/>
      <c r="C256" s="727"/>
      <c r="D256" s="124" t="s">
        <v>1125</v>
      </c>
      <c r="E256" s="76">
        <f>E254-E255</f>
        <v>0</v>
      </c>
      <c r="F256" s="76">
        <f>F254-F255</f>
        <v>0</v>
      </c>
      <c r="G256" s="76">
        <f>G254-G255</f>
        <v>0</v>
      </c>
      <c r="H256" s="164">
        <f>H254-H255</f>
        <v>0</v>
      </c>
    </row>
    <row r="257" spans="1:8" s="176" customFormat="1" ht="16.5" customHeight="1">
      <c r="A257" s="64"/>
      <c r="B257" s="726"/>
      <c r="C257" s="725" t="s">
        <v>778</v>
      </c>
      <c r="D257" s="183" t="s">
        <v>416</v>
      </c>
      <c r="E257" s="170">
        <v>11867.21</v>
      </c>
      <c r="F257" s="170">
        <v>10788.65</v>
      </c>
      <c r="G257" s="170">
        <v>464.98</v>
      </c>
      <c r="H257" s="238">
        <f>E257+F257+G257</f>
        <v>23120.84</v>
      </c>
    </row>
    <row r="258" spans="1:8" s="176" customFormat="1" ht="16.5" customHeight="1" thickBot="1">
      <c r="A258" s="64"/>
      <c r="B258" s="726"/>
      <c r="C258" s="726"/>
      <c r="D258" s="184" t="s">
        <v>1027</v>
      </c>
      <c r="E258" s="174">
        <v>11867.21</v>
      </c>
      <c r="F258" s="174">
        <v>10788.65</v>
      </c>
      <c r="G258" s="174">
        <v>464.98</v>
      </c>
      <c r="H258" s="175">
        <f>E258+F258+G258</f>
        <v>23120.84</v>
      </c>
    </row>
    <row r="259" spans="1:8" s="176" customFormat="1" ht="16.5" customHeight="1" thickBot="1">
      <c r="A259" s="64"/>
      <c r="B259" s="726"/>
      <c r="C259" s="727"/>
      <c r="D259" s="124" t="s">
        <v>1125</v>
      </c>
      <c r="E259" s="76">
        <f>E257-E258</f>
        <v>0</v>
      </c>
      <c r="F259" s="76">
        <f>F257-F258</f>
        <v>0</v>
      </c>
      <c r="G259" s="76">
        <f>G257-G258</f>
        <v>0</v>
      </c>
      <c r="H259" s="164">
        <f>H257-H258</f>
        <v>0</v>
      </c>
    </row>
    <row r="260" spans="2:9" s="176" customFormat="1" ht="16.5" customHeight="1">
      <c r="B260" s="726"/>
      <c r="C260" s="725" t="s">
        <v>779</v>
      </c>
      <c r="D260" s="183" t="s">
        <v>417</v>
      </c>
      <c r="E260" s="170">
        <v>14773.89</v>
      </c>
      <c r="F260" s="170">
        <v>16368.76</v>
      </c>
      <c r="G260" s="170">
        <v>749.24</v>
      </c>
      <c r="H260" s="238">
        <f>E260+F260+G260</f>
        <v>31891.890000000003</v>
      </c>
      <c r="I260" s="177"/>
    </row>
    <row r="261" spans="2:9" s="176" customFormat="1" ht="16.5" customHeight="1" thickBot="1">
      <c r="B261" s="726"/>
      <c r="C261" s="726"/>
      <c r="D261" s="184" t="s">
        <v>1028</v>
      </c>
      <c r="E261" s="174">
        <v>14773.89</v>
      </c>
      <c r="F261" s="174">
        <v>16368.76</v>
      </c>
      <c r="G261" s="174">
        <v>749.24</v>
      </c>
      <c r="H261" s="175">
        <f>E261+F261+G261</f>
        <v>31891.890000000003</v>
      </c>
      <c r="I261" s="177"/>
    </row>
    <row r="262" spans="2:9" s="176" customFormat="1" ht="16.5" customHeight="1" thickBot="1">
      <c r="B262" s="727"/>
      <c r="C262" s="727"/>
      <c r="D262" s="190" t="s">
        <v>1125</v>
      </c>
      <c r="E262" s="76">
        <f>E260-E261</f>
        <v>0</v>
      </c>
      <c r="F262" s="76">
        <f>F260-F261</f>
        <v>0</v>
      </c>
      <c r="G262" s="76">
        <f>G260-G261</f>
        <v>0</v>
      </c>
      <c r="H262" s="164">
        <f>H260-H261</f>
        <v>0</v>
      </c>
      <c r="I262" s="177"/>
    </row>
    <row r="263" spans="1:8" s="176" customFormat="1" ht="22.5" customHeight="1" thickBot="1">
      <c r="A263" s="64"/>
      <c r="B263" s="730" t="s">
        <v>1006</v>
      </c>
      <c r="C263" s="731"/>
      <c r="D263" s="240" t="s">
        <v>782</v>
      </c>
      <c r="E263" s="182">
        <v>0.25</v>
      </c>
      <c r="F263" s="188" t="str">
        <f>IF(COMANDOBLOQUEADO!Y6="2007","8,34%",IF(COMANDOBLOQUEADO!Y6="2008","6,67%","5%"))</f>
        <v>5%</v>
      </c>
      <c r="G263" s="188" t="str">
        <f>IF(COMANDOBLOQUEADO!Y6="2007","18,34%",IF(COMANDOBLOQUEADO!Y6="2008","11,67%","5%"))</f>
        <v>5%</v>
      </c>
      <c r="H263" s="185"/>
    </row>
    <row r="264" spans="1:8" s="176" customFormat="1" ht="16.5" customHeight="1">
      <c r="A264" s="64"/>
      <c r="B264" s="732"/>
      <c r="C264" s="733"/>
      <c r="D264" s="183" t="s">
        <v>1211</v>
      </c>
      <c r="E264" s="171">
        <f aca="true" t="shared" si="3" ref="E264:H265">E234+E237+E240+E244+E247+E250+E254+E257+E260</f>
        <v>151963.11</v>
      </c>
      <c r="F264" s="171">
        <f t="shared" si="3"/>
        <v>249275.52</v>
      </c>
      <c r="G264" s="171">
        <f t="shared" si="3"/>
        <v>5520.0599999999995</v>
      </c>
      <c r="H264" s="238">
        <f t="shared" si="3"/>
        <v>406758.69000000006</v>
      </c>
    </row>
    <row r="265" spans="1:8" s="176" customFormat="1" ht="16.5" customHeight="1" thickBot="1">
      <c r="A265" s="64"/>
      <c r="B265" s="732"/>
      <c r="C265" s="733"/>
      <c r="D265" s="184" t="s">
        <v>1029</v>
      </c>
      <c r="E265" s="145">
        <f t="shared" si="3"/>
        <v>151963.11</v>
      </c>
      <c r="F265" s="145">
        <f t="shared" si="3"/>
        <v>249275.52</v>
      </c>
      <c r="G265" s="145">
        <f t="shared" si="3"/>
        <v>5520.0599999999995</v>
      </c>
      <c r="H265" s="241">
        <f t="shared" si="3"/>
        <v>406758.69000000006</v>
      </c>
    </row>
    <row r="266" spans="1:8" s="176" customFormat="1" ht="16.5" customHeight="1" thickBot="1">
      <c r="A266" s="64"/>
      <c r="B266" s="734"/>
      <c r="C266" s="735"/>
      <c r="D266" s="124" t="s">
        <v>1125</v>
      </c>
      <c r="E266" s="76">
        <f>E264-E265</f>
        <v>0</v>
      </c>
      <c r="F266" s="76">
        <f>F264-F265</f>
        <v>0</v>
      </c>
      <c r="G266" s="76">
        <f>G264-G265</f>
        <v>0</v>
      </c>
      <c r="H266" s="164">
        <f>H264-H265</f>
        <v>0</v>
      </c>
    </row>
    <row r="267" s="176" customFormat="1" ht="14.25"/>
    <row r="268" s="176" customFormat="1" ht="14.25"/>
    <row r="269" s="176" customFormat="1" ht="14.25"/>
    <row r="270" s="176" customFormat="1" ht="14.25"/>
    <row r="271" s="176" customFormat="1" ht="14.25"/>
    <row r="272" s="176" customFormat="1" ht="14.25"/>
    <row r="273" s="176" customFormat="1" ht="14.25"/>
    <row r="274" s="176" customFormat="1" ht="14.25"/>
    <row r="275" s="176" customFormat="1" ht="14.25"/>
    <row r="276" s="176" customFormat="1" ht="14.25"/>
    <row r="277" s="176" customFormat="1" ht="14.25"/>
    <row r="278" s="176" customFormat="1" ht="14.25"/>
    <row r="279" s="176" customFormat="1" ht="14.25"/>
    <row r="280" s="176" customFormat="1" ht="14.25"/>
    <row r="281" s="176" customFormat="1" ht="14.25"/>
    <row r="282" s="176" customFormat="1" ht="14.25"/>
    <row r="283" s="176" customFormat="1" ht="14.25"/>
    <row r="284" s="176" customFormat="1" ht="14.25"/>
    <row r="285" s="176" customFormat="1" ht="14.25"/>
    <row r="286" s="176" customFormat="1" ht="14.25"/>
    <row r="287" s="176" customFormat="1" ht="14.25"/>
    <row r="288" s="176" customFormat="1" ht="14.25"/>
    <row r="289" s="176" customFormat="1" ht="14.25"/>
    <row r="290" s="176" customFormat="1" ht="14.25"/>
    <row r="291" s="176" customFormat="1" ht="14.25"/>
    <row r="292" s="176" customFormat="1" ht="14.25"/>
    <row r="293" s="176" customFormat="1" ht="14.25"/>
    <row r="294" s="176" customFormat="1" ht="14.25"/>
    <row r="295" s="176" customFormat="1" ht="14.25">
      <c r="B295" s="176" t="str">
        <f>COMANDOBLOQUEADO!U6</f>
        <v>4º TRIMESTRE</v>
      </c>
    </row>
    <row r="296" s="176" customFormat="1" ht="14.25"/>
    <row r="297" s="176" customFormat="1" ht="14.25"/>
    <row r="298" s="176" customFormat="1" ht="14.25"/>
    <row r="299" s="176" customFormat="1" ht="14.25"/>
    <row r="300" s="176" customFormat="1" ht="14.25"/>
    <row r="301" s="176" customFormat="1" ht="14.25"/>
    <row r="302" s="176" customFormat="1" ht="14.25"/>
    <row r="303" s="176" customFormat="1" ht="14.25"/>
    <row r="304" s="176" customFormat="1" ht="14.25"/>
    <row r="305" s="176" customFormat="1" ht="14.25"/>
    <row r="306" s="176" customFormat="1" ht="14.25"/>
    <row r="307" s="176" customFormat="1" ht="14.25"/>
    <row r="308" s="176" customFormat="1" ht="14.25"/>
    <row r="309" s="176" customFormat="1" ht="14.25"/>
    <row r="310" s="176" customFormat="1" ht="14.25"/>
    <row r="311" s="176" customFormat="1" ht="14.25"/>
    <row r="312" s="176" customFormat="1" ht="14.25"/>
    <row r="313" s="176" customFormat="1" ht="14.25"/>
    <row r="314" s="176" customFormat="1" ht="14.25"/>
    <row r="315" s="176" customFormat="1" ht="14.25"/>
    <row r="316" s="176" customFormat="1" ht="14.25"/>
    <row r="317" s="176" customFormat="1" ht="14.25"/>
    <row r="318" s="176" customFormat="1" ht="14.25"/>
    <row r="319" s="176" customFormat="1" ht="14.25"/>
    <row r="320" s="176" customFormat="1" ht="14.25"/>
    <row r="321" s="176" customFormat="1" ht="14.25"/>
    <row r="322" s="176" customFormat="1" ht="14.25"/>
    <row r="323" s="176" customFormat="1" ht="14.25"/>
    <row r="324" s="176" customFormat="1" ht="14.25"/>
    <row r="325" s="176" customFormat="1" ht="14.25"/>
    <row r="326" s="176" customFormat="1" ht="14.25"/>
    <row r="327" s="176" customFormat="1" ht="14.25"/>
    <row r="328" s="176" customFormat="1" ht="14.25"/>
    <row r="329" s="176" customFormat="1" ht="14.25"/>
    <row r="330" s="176" customFormat="1" ht="14.25"/>
    <row r="331" s="176" customFormat="1" ht="14.25"/>
    <row r="332" s="176" customFormat="1" ht="14.25"/>
    <row r="333" s="176" customFormat="1" ht="14.25"/>
    <row r="334" s="176" customFormat="1" ht="14.25"/>
    <row r="335" s="176" customFormat="1" ht="14.25"/>
    <row r="336" s="176" customFormat="1" ht="14.25"/>
    <row r="337" s="176" customFormat="1" ht="14.25"/>
    <row r="338" s="176" customFormat="1" ht="14.25"/>
    <row r="339" s="176" customFormat="1" ht="14.25"/>
    <row r="340" s="176" customFormat="1" ht="14.25"/>
    <row r="341" s="176" customFormat="1" ht="14.25"/>
    <row r="342" s="176" customFormat="1" ht="14.25"/>
    <row r="343" s="176" customFormat="1" ht="14.25"/>
    <row r="344" s="176" customFormat="1" ht="14.25"/>
    <row r="345" s="176" customFormat="1" ht="14.25"/>
    <row r="346" s="176" customFormat="1" ht="14.25"/>
    <row r="347" s="176" customFormat="1" ht="14.25"/>
    <row r="348" s="176" customFormat="1" ht="14.25"/>
    <row r="349" s="176" customFormat="1" ht="14.25"/>
    <row r="350" s="176" customFormat="1" ht="14.25"/>
    <row r="351" s="176" customFormat="1" ht="14.25"/>
    <row r="352" s="176" customFormat="1" ht="14.25"/>
    <row r="353" s="176" customFormat="1" ht="14.25"/>
    <row r="354" s="176" customFormat="1" ht="14.25"/>
    <row r="355" s="176" customFormat="1" ht="14.25"/>
    <row r="356" s="176" customFormat="1" ht="14.25"/>
    <row r="357" s="176" customFormat="1" ht="14.25"/>
    <row r="358" s="176" customFormat="1" ht="14.25"/>
    <row r="359" s="176" customFormat="1" ht="14.25"/>
    <row r="360" s="176" customFormat="1" ht="14.25"/>
    <row r="361" s="176" customFormat="1" ht="14.25"/>
    <row r="362" s="176" customFormat="1" ht="14.25"/>
    <row r="363" s="176" customFormat="1" ht="14.25"/>
    <row r="364" s="176" customFormat="1" ht="14.25"/>
    <row r="365" s="176" customFormat="1" ht="14.25"/>
    <row r="366" s="176" customFormat="1" ht="14.25"/>
    <row r="367" s="176" customFormat="1" ht="14.25"/>
    <row r="368" s="176" customFormat="1" ht="14.25"/>
    <row r="369" s="176" customFormat="1" ht="14.25"/>
    <row r="370" s="176" customFormat="1" ht="14.25"/>
    <row r="371" s="176" customFormat="1" ht="14.25"/>
    <row r="372" s="176" customFormat="1" ht="14.25"/>
    <row r="373" s="176" customFormat="1" ht="14.25"/>
    <row r="374" s="176" customFormat="1" ht="14.25"/>
    <row r="375" s="176" customFormat="1" ht="14.25"/>
    <row r="376" s="176" customFormat="1" ht="14.25"/>
    <row r="377" s="176" customFormat="1" ht="14.25"/>
    <row r="378" s="176" customFormat="1" ht="14.25"/>
    <row r="379" s="176" customFormat="1" ht="14.25"/>
    <row r="380" s="176" customFormat="1" ht="14.25"/>
    <row r="381" s="176" customFormat="1" ht="14.25"/>
    <row r="382" s="176" customFormat="1" ht="14.25"/>
    <row r="383" s="176" customFormat="1" ht="14.25"/>
    <row r="384" s="176" customFormat="1" ht="14.25"/>
    <row r="385" s="176" customFormat="1" ht="14.25"/>
    <row r="386" s="176" customFormat="1" ht="14.25"/>
    <row r="387" s="176" customFormat="1" ht="14.25"/>
    <row r="388" s="176" customFormat="1" ht="14.25"/>
    <row r="389" s="176" customFormat="1" ht="14.25"/>
    <row r="390" s="176" customFormat="1" ht="14.25"/>
    <row r="391" s="176" customFormat="1" ht="14.25"/>
    <row r="392" s="176" customFormat="1" ht="14.25"/>
    <row r="393" s="176" customFormat="1" ht="14.25"/>
    <row r="394" s="176" customFormat="1" ht="14.25"/>
    <row r="395" s="176" customFormat="1" ht="14.25"/>
    <row r="396" s="176" customFormat="1" ht="14.25"/>
    <row r="397" s="176" customFormat="1" ht="14.25"/>
    <row r="398" s="176" customFormat="1" ht="14.25"/>
    <row r="399" s="176" customFormat="1" ht="14.25"/>
    <row r="400" s="176" customFormat="1" ht="14.25"/>
    <row r="401" s="176" customFormat="1" ht="14.25"/>
    <row r="402" s="176" customFormat="1" ht="14.25"/>
    <row r="403" s="176" customFormat="1" ht="14.25"/>
    <row r="404" s="176" customFormat="1" ht="14.25"/>
    <row r="405" s="176" customFormat="1" ht="14.25"/>
    <row r="406" s="176" customFormat="1" ht="14.25"/>
    <row r="407" s="176" customFormat="1" ht="14.25"/>
    <row r="408" s="176" customFormat="1" ht="14.25"/>
    <row r="409" s="176" customFormat="1" ht="14.25"/>
    <row r="410" s="176" customFormat="1" ht="14.25"/>
    <row r="411" s="176" customFormat="1" ht="14.25"/>
    <row r="412" s="176" customFormat="1" ht="14.25"/>
    <row r="413" s="176" customFormat="1" ht="14.25"/>
    <row r="414" s="176" customFormat="1" ht="14.25"/>
    <row r="415" s="176" customFormat="1" ht="14.25"/>
    <row r="416" s="176" customFormat="1" ht="14.25"/>
    <row r="417" s="176" customFormat="1" ht="14.25"/>
    <row r="418" s="176" customFormat="1" ht="14.25"/>
    <row r="419" s="176" customFormat="1" ht="14.25"/>
    <row r="420" s="176" customFormat="1" ht="14.25"/>
    <row r="421" s="176" customFormat="1" ht="14.25"/>
    <row r="422" s="176" customFormat="1" ht="14.25"/>
    <row r="423" s="176" customFormat="1" ht="14.25"/>
    <row r="424" s="176" customFormat="1" ht="14.25"/>
    <row r="425" s="176" customFormat="1" ht="14.25"/>
    <row r="426" s="176" customFormat="1" ht="14.25"/>
    <row r="427" s="176" customFormat="1" ht="14.25"/>
    <row r="428" s="176" customFormat="1" ht="14.25"/>
    <row r="429" s="176" customFormat="1" ht="14.25"/>
    <row r="430" s="176" customFormat="1" ht="14.25"/>
    <row r="431" s="176" customFormat="1" ht="14.25"/>
    <row r="432" s="176" customFormat="1" ht="14.25"/>
    <row r="433" s="176" customFormat="1" ht="14.25"/>
    <row r="434" s="176" customFormat="1" ht="14.25"/>
    <row r="435" s="176" customFormat="1" ht="14.25"/>
    <row r="436" s="176" customFormat="1" ht="14.25"/>
    <row r="437" s="176" customFormat="1" ht="14.25"/>
    <row r="438" s="176" customFormat="1" ht="14.25"/>
    <row r="439" s="176" customFormat="1" ht="14.25"/>
    <row r="440" s="176" customFormat="1" ht="14.25"/>
    <row r="441" s="176" customFormat="1" ht="14.25"/>
    <row r="442" s="176" customFormat="1" ht="14.25"/>
    <row r="443" s="176" customFormat="1" ht="14.25"/>
    <row r="444" s="176" customFormat="1" ht="14.25"/>
    <row r="445" s="176" customFormat="1" ht="14.25"/>
    <row r="446" s="176" customFormat="1" ht="14.25"/>
    <row r="447" s="176" customFormat="1" ht="14.25"/>
    <row r="448" s="176" customFormat="1" ht="14.25"/>
    <row r="449" s="176" customFormat="1" ht="14.25"/>
    <row r="450" s="176" customFormat="1" ht="14.25"/>
    <row r="451" s="176" customFormat="1" ht="14.25"/>
    <row r="452" s="176" customFormat="1" ht="14.25"/>
    <row r="453" s="176" customFormat="1" ht="14.25"/>
    <row r="454" s="176" customFormat="1" ht="14.25"/>
    <row r="455" s="176" customFormat="1" ht="14.25"/>
    <row r="456" s="176" customFormat="1" ht="14.25"/>
    <row r="457" s="176" customFormat="1" ht="14.25"/>
    <row r="458" s="176" customFormat="1" ht="14.25"/>
    <row r="459" s="176" customFormat="1" ht="14.25"/>
    <row r="460" s="176" customFormat="1" ht="14.25"/>
    <row r="461" s="176" customFormat="1" ht="14.25"/>
    <row r="462" s="176" customFormat="1" ht="14.25"/>
    <row r="463" s="176" customFormat="1" ht="14.25"/>
    <row r="464" s="176" customFormat="1" ht="14.25"/>
    <row r="465" s="176" customFormat="1" ht="14.25"/>
    <row r="466" s="176" customFormat="1" ht="14.25"/>
    <row r="467" s="176" customFormat="1" ht="14.25"/>
    <row r="468" s="176" customFormat="1" ht="14.25"/>
    <row r="469" s="176" customFormat="1" ht="14.25"/>
    <row r="470" s="176" customFormat="1" ht="14.25"/>
    <row r="471" s="176" customFormat="1" ht="14.25"/>
    <row r="472" s="176" customFormat="1" ht="14.25"/>
    <row r="473" s="176" customFormat="1" ht="14.25"/>
    <row r="474" s="176" customFormat="1" ht="14.25"/>
    <row r="475" s="176" customFormat="1" ht="14.25"/>
    <row r="476" s="176" customFormat="1" ht="14.25"/>
    <row r="477" s="176" customFormat="1" ht="14.25"/>
    <row r="478" s="176" customFormat="1" ht="14.25"/>
    <row r="479" s="176" customFormat="1" ht="14.25"/>
    <row r="480" s="176" customFormat="1" ht="14.25"/>
    <row r="481" s="176" customFormat="1" ht="14.25"/>
    <row r="482" s="176" customFormat="1" ht="14.25"/>
    <row r="483" s="176" customFormat="1" ht="14.25"/>
    <row r="484" s="176" customFormat="1" ht="14.25"/>
    <row r="485" s="176" customFormat="1" ht="14.25"/>
    <row r="486" s="176" customFormat="1" ht="14.25"/>
    <row r="487" s="176" customFormat="1" ht="14.25"/>
    <row r="488" s="176" customFormat="1" ht="14.25"/>
    <row r="489" s="176" customFormat="1" ht="14.25"/>
    <row r="490" s="176" customFormat="1" ht="14.25"/>
    <row r="491" s="176" customFormat="1" ht="14.25"/>
    <row r="492" s="176" customFormat="1" ht="14.25"/>
    <row r="493" s="176" customFormat="1" ht="14.25"/>
    <row r="494" s="176" customFormat="1" ht="14.25"/>
    <row r="495" s="176" customFormat="1" ht="14.25"/>
    <row r="496" s="176" customFormat="1" ht="14.25"/>
    <row r="497" s="176" customFormat="1" ht="14.25"/>
    <row r="498" s="176" customFormat="1" ht="14.25"/>
    <row r="499" s="176" customFormat="1" ht="14.25"/>
    <row r="500" s="176" customFormat="1" ht="14.25"/>
    <row r="501" s="176" customFormat="1" ht="14.25"/>
    <row r="502" s="176" customFormat="1" ht="14.25"/>
    <row r="503" s="176" customFormat="1" ht="14.25"/>
    <row r="504" s="176" customFormat="1" ht="14.25"/>
    <row r="505" s="176" customFormat="1" ht="14.25"/>
    <row r="506" s="176" customFormat="1" ht="14.25"/>
    <row r="507" s="176" customFormat="1" ht="14.25"/>
    <row r="508" s="176" customFormat="1" ht="14.25"/>
    <row r="509" s="176" customFormat="1" ht="14.25"/>
    <row r="510" s="176" customFormat="1" ht="14.25"/>
    <row r="511" s="176" customFormat="1" ht="14.25"/>
    <row r="512" s="176" customFormat="1" ht="14.25"/>
    <row r="513" s="176" customFormat="1" ht="14.25"/>
    <row r="514" s="176" customFormat="1" ht="14.25"/>
    <row r="515" s="176" customFormat="1" ht="14.25"/>
    <row r="516" s="176" customFormat="1" ht="14.25"/>
    <row r="517" s="176" customFormat="1" ht="14.25"/>
    <row r="518" s="176" customFormat="1" ht="14.25"/>
    <row r="519" s="176" customFormat="1" ht="14.25"/>
    <row r="520" s="176" customFormat="1" ht="14.25"/>
    <row r="521" s="176" customFormat="1" ht="14.25"/>
    <row r="522" s="176" customFormat="1" ht="14.25"/>
    <row r="523" s="176" customFormat="1" ht="14.25"/>
    <row r="524" s="176" customFormat="1" ht="14.25"/>
    <row r="525" s="176" customFormat="1" ht="14.25"/>
    <row r="526" s="176" customFormat="1" ht="14.25"/>
    <row r="527" s="176" customFormat="1" ht="14.25"/>
    <row r="528" s="176" customFormat="1" ht="14.25"/>
    <row r="529" s="176" customFormat="1" ht="14.25"/>
    <row r="530" s="176" customFormat="1" ht="14.25"/>
    <row r="531" s="176" customFormat="1" ht="14.25"/>
    <row r="532" s="176" customFormat="1" ht="14.25"/>
    <row r="533" s="176" customFormat="1" ht="14.25"/>
    <row r="534" s="176" customFormat="1" ht="14.25"/>
    <row r="535" s="176" customFormat="1" ht="14.25"/>
    <row r="536" s="176" customFormat="1" ht="14.25"/>
    <row r="537" s="176" customFormat="1" ht="14.25"/>
    <row r="538" s="176" customFormat="1" ht="14.25"/>
    <row r="539" s="176" customFormat="1" ht="14.25"/>
    <row r="540" s="176" customFormat="1" ht="14.25"/>
    <row r="541" s="176" customFormat="1" ht="14.25"/>
    <row r="542" s="176" customFormat="1" ht="14.25"/>
    <row r="543" s="176" customFormat="1" ht="14.25"/>
    <row r="544" s="176" customFormat="1" ht="14.25"/>
    <row r="545" s="176" customFormat="1" ht="14.25"/>
    <row r="546" s="176" customFormat="1" ht="14.25"/>
    <row r="547" s="176" customFormat="1" ht="14.25"/>
    <row r="548" s="176" customFormat="1" ht="14.25"/>
    <row r="549" s="176" customFormat="1" ht="14.25"/>
    <row r="550" s="176" customFormat="1" ht="14.25"/>
    <row r="551" s="176" customFormat="1" ht="14.25"/>
    <row r="552" s="176" customFormat="1" ht="14.25"/>
    <row r="553" s="176" customFormat="1" ht="14.25"/>
    <row r="554" s="176" customFormat="1" ht="14.25"/>
    <row r="555" s="176" customFormat="1" ht="14.25"/>
    <row r="556" s="176" customFormat="1" ht="14.25"/>
    <row r="557" s="176" customFormat="1" ht="14.25"/>
    <row r="558" s="176" customFormat="1" ht="14.25"/>
    <row r="559" s="176" customFormat="1" ht="14.25"/>
    <row r="560" s="176" customFormat="1" ht="14.25"/>
    <row r="561" s="176" customFormat="1" ht="14.25"/>
    <row r="562" s="176" customFormat="1" ht="14.25"/>
    <row r="563" s="176" customFormat="1" ht="14.25"/>
    <row r="564" s="176" customFormat="1" ht="14.25"/>
    <row r="565" s="176" customFormat="1" ht="14.25"/>
    <row r="566" s="176" customFormat="1" ht="14.25"/>
    <row r="567" s="176" customFormat="1" ht="14.25"/>
    <row r="568" s="176" customFormat="1" ht="14.25"/>
    <row r="569" s="176" customFormat="1" ht="14.25"/>
    <row r="570" s="176" customFormat="1" ht="14.25"/>
    <row r="571" s="176" customFormat="1" ht="14.25"/>
    <row r="572" s="176" customFormat="1" ht="14.25"/>
    <row r="573" s="176" customFormat="1" ht="14.25"/>
    <row r="574" s="176" customFormat="1" ht="14.25"/>
    <row r="575" s="176" customFormat="1" ht="14.25"/>
    <row r="576" s="176" customFormat="1" ht="14.25"/>
    <row r="577" s="176" customFormat="1" ht="14.25"/>
    <row r="578" s="176" customFormat="1" ht="14.25"/>
    <row r="579" s="176" customFormat="1" ht="14.25"/>
    <row r="580" s="176" customFormat="1" ht="14.25"/>
    <row r="581" s="176" customFormat="1" ht="14.25"/>
    <row r="582" s="176" customFormat="1" ht="14.25"/>
    <row r="583" s="176" customFormat="1" ht="14.25"/>
    <row r="584" s="176" customFormat="1" ht="14.25"/>
    <row r="585" s="176" customFormat="1" ht="14.25"/>
    <row r="586" s="176" customFormat="1" ht="14.25"/>
    <row r="587" s="176" customFormat="1" ht="14.25"/>
    <row r="588" s="176" customFormat="1" ht="14.25"/>
    <row r="589" s="176" customFormat="1" ht="14.25"/>
    <row r="590" s="176" customFormat="1" ht="14.25"/>
    <row r="591" s="176" customFormat="1" ht="14.25"/>
    <row r="592" s="176" customFormat="1" ht="14.25"/>
    <row r="593" s="176" customFormat="1" ht="14.25"/>
    <row r="594" s="176" customFormat="1" ht="14.25"/>
    <row r="595" s="176" customFormat="1" ht="14.25"/>
    <row r="596" s="176" customFormat="1" ht="14.25"/>
    <row r="597" s="176" customFormat="1" ht="14.25"/>
    <row r="598" s="176" customFormat="1" ht="14.25"/>
    <row r="599" s="176" customFormat="1" ht="14.25"/>
    <row r="600" s="176" customFormat="1" ht="14.25"/>
    <row r="601" s="176" customFormat="1" ht="14.25"/>
    <row r="602" s="176" customFormat="1" ht="14.25"/>
    <row r="603" s="176" customFormat="1" ht="14.25"/>
    <row r="604" s="176" customFormat="1" ht="14.25"/>
    <row r="605" s="176" customFormat="1" ht="14.25"/>
    <row r="606" s="176" customFormat="1" ht="14.25"/>
    <row r="607" s="176" customFormat="1" ht="14.25"/>
    <row r="608" s="176" customFormat="1" ht="14.25"/>
    <row r="609" s="176" customFormat="1" ht="14.25"/>
    <row r="610" s="176" customFormat="1" ht="14.25"/>
    <row r="611" s="176" customFormat="1" ht="14.25"/>
    <row r="612" s="176" customFormat="1" ht="14.25"/>
    <row r="613" s="176" customFormat="1" ht="14.25"/>
    <row r="614" s="176" customFormat="1" ht="14.25"/>
    <row r="615" s="176" customFormat="1" ht="14.25"/>
    <row r="616" s="176" customFormat="1" ht="14.25"/>
    <row r="617" s="176" customFormat="1" ht="14.25"/>
    <row r="618" s="176" customFormat="1" ht="14.25"/>
    <row r="619" s="176" customFormat="1" ht="14.25"/>
    <row r="620" s="176" customFormat="1" ht="14.25"/>
    <row r="621" s="176" customFormat="1" ht="14.25"/>
    <row r="622" s="176" customFormat="1" ht="14.25"/>
    <row r="623" s="176" customFormat="1" ht="14.25"/>
    <row r="624" s="176" customFormat="1" ht="14.25"/>
    <row r="625" s="176" customFormat="1" ht="14.25"/>
    <row r="626" s="176" customFormat="1" ht="14.25"/>
    <row r="627" s="176" customFormat="1" ht="14.25"/>
    <row r="628" s="176" customFormat="1" ht="14.25"/>
    <row r="629" s="176" customFormat="1" ht="14.25"/>
    <row r="630" s="176" customFormat="1" ht="14.25"/>
    <row r="631" s="176" customFormat="1" ht="14.25"/>
    <row r="632" s="176" customFormat="1" ht="14.25"/>
    <row r="633" s="176" customFormat="1" ht="14.25"/>
    <row r="634" s="176" customFormat="1" ht="14.25"/>
    <row r="635" s="176" customFormat="1" ht="14.25"/>
    <row r="636" s="176" customFormat="1" ht="14.25"/>
    <row r="637" s="176" customFormat="1" ht="14.25"/>
    <row r="638" s="176" customFormat="1" ht="14.25"/>
    <row r="639" s="176" customFormat="1" ht="14.25"/>
    <row r="640" s="176" customFormat="1" ht="14.25"/>
    <row r="641" s="176" customFormat="1" ht="14.25"/>
    <row r="642" s="176" customFormat="1" ht="14.25"/>
    <row r="643" s="176" customFormat="1" ht="14.25"/>
    <row r="644" s="176" customFormat="1" ht="14.25"/>
    <row r="645" s="176" customFormat="1" ht="14.25"/>
    <row r="646" s="176" customFormat="1" ht="14.25"/>
    <row r="647" s="176" customFormat="1" ht="14.25"/>
    <row r="648" s="176" customFormat="1" ht="14.25"/>
    <row r="649" s="176" customFormat="1" ht="14.25"/>
    <row r="650" s="176" customFormat="1" ht="14.25"/>
    <row r="651" s="176" customFormat="1" ht="14.25"/>
    <row r="652" s="176" customFormat="1" ht="14.25"/>
    <row r="653" s="176" customFormat="1" ht="14.25"/>
    <row r="654" s="176" customFormat="1" ht="14.25"/>
    <row r="655" s="176" customFormat="1" ht="14.25"/>
    <row r="656" s="176" customFormat="1" ht="14.25"/>
    <row r="657" s="176" customFormat="1" ht="14.25"/>
    <row r="658" s="176" customFormat="1" ht="14.25"/>
    <row r="659" s="176" customFormat="1" ht="14.25"/>
    <row r="660" s="176" customFormat="1" ht="14.25"/>
    <row r="661" s="176" customFormat="1" ht="14.25"/>
    <row r="662" s="176" customFormat="1" ht="14.25"/>
    <row r="663" s="176" customFormat="1" ht="14.25"/>
    <row r="664" s="176" customFormat="1" ht="14.25"/>
    <row r="665" s="176" customFormat="1" ht="14.25"/>
    <row r="666" s="176" customFormat="1" ht="14.25"/>
    <row r="667" s="176" customFormat="1" ht="14.25"/>
    <row r="668" s="176" customFormat="1" ht="14.25"/>
    <row r="669" s="176" customFormat="1" ht="14.25"/>
    <row r="670" s="176" customFormat="1" ht="14.25"/>
    <row r="671" s="176" customFormat="1" ht="14.25"/>
    <row r="672" s="176" customFormat="1" ht="14.25"/>
    <row r="673" s="176" customFormat="1" ht="14.25"/>
    <row r="674" s="176" customFormat="1" ht="14.25"/>
    <row r="675" s="176" customFormat="1" ht="14.25"/>
    <row r="676" s="176" customFormat="1" ht="14.25"/>
    <row r="677" s="176" customFormat="1" ht="14.25"/>
    <row r="678" s="176" customFormat="1" ht="14.25"/>
    <row r="679" s="176" customFormat="1" ht="14.25"/>
    <row r="680" s="176" customFormat="1" ht="14.25"/>
    <row r="681" s="176" customFormat="1" ht="14.25"/>
    <row r="682" s="176" customFormat="1" ht="14.25"/>
    <row r="683" s="176" customFormat="1" ht="14.25"/>
    <row r="684" s="176" customFormat="1" ht="14.25"/>
    <row r="685" s="176" customFormat="1" ht="14.25"/>
    <row r="686" s="176" customFormat="1" ht="14.25"/>
    <row r="687" s="176" customFormat="1" ht="14.25"/>
    <row r="688" s="176" customFormat="1" ht="14.25"/>
    <row r="689" s="176" customFormat="1" ht="14.25"/>
    <row r="690" s="176" customFormat="1" ht="14.25"/>
    <row r="691" s="176" customFormat="1" ht="14.25"/>
    <row r="692" s="176" customFormat="1" ht="14.25"/>
    <row r="693" s="176" customFormat="1" ht="14.25"/>
    <row r="694" s="176" customFormat="1" ht="14.25"/>
    <row r="695" s="176" customFormat="1" ht="14.25"/>
    <row r="696" s="176" customFormat="1" ht="14.25"/>
    <row r="697" s="176" customFormat="1" ht="14.25"/>
    <row r="698" s="176" customFormat="1" ht="14.25"/>
    <row r="699" s="176" customFormat="1" ht="14.25"/>
    <row r="700" s="176" customFormat="1" ht="14.25"/>
    <row r="701" s="176" customFormat="1" ht="14.25"/>
    <row r="702" s="176" customFormat="1" ht="14.25"/>
    <row r="703" s="176" customFormat="1" ht="14.25"/>
    <row r="704" s="176" customFormat="1" ht="14.25"/>
    <row r="705" s="176" customFormat="1" ht="14.25"/>
    <row r="706" s="176" customFormat="1" ht="14.25"/>
    <row r="707" s="176" customFormat="1" ht="14.25"/>
    <row r="708" s="176" customFormat="1" ht="14.25"/>
    <row r="709" s="176" customFormat="1" ht="14.25"/>
    <row r="710" s="176" customFormat="1" ht="14.25"/>
    <row r="711" s="176" customFormat="1" ht="14.25"/>
    <row r="712" s="176" customFormat="1" ht="14.25"/>
    <row r="713" s="176" customFormat="1" ht="14.25"/>
    <row r="714" s="176" customFormat="1" ht="14.25"/>
    <row r="715" s="176" customFormat="1" ht="14.25"/>
    <row r="716" s="176" customFormat="1" ht="14.25"/>
    <row r="717" s="176" customFormat="1" ht="14.25"/>
    <row r="718" s="176" customFormat="1" ht="14.25"/>
    <row r="719" s="176" customFormat="1" ht="14.25"/>
    <row r="720" s="176" customFormat="1" ht="14.25"/>
    <row r="721" s="176" customFormat="1" ht="14.25"/>
    <row r="722" s="176" customFormat="1" ht="14.25"/>
    <row r="723" s="176" customFormat="1" ht="14.25"/>
    <row r="724" s="176" customFormat="1" ht="14.25"/>
    <row r="725" s="176" customFormat="1" ht="14.25"/>
    <row r="726" s="176" customFormat="1" ht="14.25"/>
    <row r="727" s="176" customFormat="1" ht="14.25"/>
    <row r="728" s="176" customFormat="1" ht="14.25"/>
    <row r="729" s="176" customFormat="1" ht="14.25"/>
    <row r="730" s="176" customFormat="1" ht="14.25"/>
    <row r="731" s="176" customFormat="1" ht="14.25"/>
    <row r="732" s="176" customFormat="1" ht="14.25"/>
    <row r="733" s="176" customFormat="1" ht="14.25"/>
    <row r="734" s="176" customFormat="1" ht="14.25"/>
    <row r="735" s="176" customFormat="1" ht="14.25"/>
    <row r="736" s="176" customFormat="1" ht="14.25"/>
    <row r="737" s="176" customFormat="1" ht="14.25"/>
    <row r="738" s="176" customFormat="1" ht="14.25"/>
    <row r="739" s="176" customFormat="1" ht="14.25"/>
    <row r="740" s="176" customFormat="1" ht="14.25"/>
    <row r="741" s="176" customFormat="1" ht="14.25"/>
    <row r="742" s="176" customFormat="1" ht="14.25"/>
    <row r="743" s="176" customFormat="1" ht="14.25"/>
    <row r="744" s="176" customFormat="1" ht="14.25"/>
    <row r="745" s="176" customFormat="1" ht="14.25"/>
    <row r="746" s="176" customFormat="1" ht="14.25"/>
    <row r="747" s="176" customFormat="1" ht="14.25"/>
    <row r="748" s="176" customFormat="1" ht="14.25"/>
    <row r="749" s="176" customFormat="1" ht="14.25"/>
    <row r="750" s="176" customFormat="1" ht="14.25"/>
    <row r="751" s="176" customFormat="1" ht="14.25"/>
    <row r="752" s="176" customFormat="1" ht="14.25"/>
    <row r="753" s="176" customFormat="1" ht="14.25"/>
    <row r="754" s="176" customFormat="1" ht="14.25"/>
    <row r="755" s="176" customFormat="1" ht="14.25"/>
    <row r="756" s="176" customFormat="1" ht="14.25"/>
    <row r="757" s="176" customFormat="1" ht="14.25"/>
    <row r="758" s="176" customFormat="1" ht="14.25"/>
    <row r="759" s="176" customFormat="1" ht="14.25"/>
    <row r="760" s="176" customFormat="1" ht="14.25"/>
    <row r="761" s="176" customFormat="1" ht="14.25"/>
    <row r="762" s="176" customFormat="1" ht="14.25"/>
    <row r="763" s="176" customFormat="1" ht="14.25"/>
    <row r="764" s="176" customFormat="1" ht="14.25"/>
    <row r="765" s="176" customFormat="1" ht="14.25"/>
    <row r="766" s="176" customFormat="1" ht="14.25"/>
    <row r="767" s="176" customFormat="1" ht="14.25"/>
    <row r="768" s="176" customFormat="1" ht="14.25"/>
    <row r="769" s="176" customFormat="1" ht="14.25"/>
    <row r="770" s="176" customFormat="1" ht="14.25"/>
    <row r="771" s="176" customFormat="1" ht="14.25"/>
    <row r="772" s="176" customFormat="1" ht="14.25"/>
    <row r="773" s="176" customFormat="1" ht="14.25"/>
    <row r="774" s="176" customFormat="1" ht="14.25"/>
    <row r="775" s="176" customFormat="1" ht="14.25"/>
    <row r="776" s="176" customFormat="1" ht="14.25"/>
    <row r="777" s="176" customFormat="1" ht="14.25"/>
    <row r="778" s="176" customFormat="1" ht="14.25"/>
    <row r="779" s="176" customFormat="1" ht="14.25"/>
    <row r="780" s="176" customFormat="1" ht="14.25"/>
    <row r="781" s="176" customFormat="1" ht="14.25"/>
    <row r="782" s="176" customFormat="1" ht="14.25"/>
    <row r="783" s="176" customFormat="1" ht="14.25"/>
    <row r="784" s="176" customFormat="1" ht="14.25"/>
    <row r="785" s="176" customFormat="1" ht="14.25"/>
    <row r="786" s="176" customFormat="1" ht="14.25"/>
    <row r="787" s="176" customFormat="1" ht="14.25"/>
    <row r="788" s="176" customFormat="1" ht="14.25"/>
    <row r="789" s="176" customFormat="1" ht="14.25"/>
    <row r="790" s="176" customFormat="1" ht="14.25"/>
    <row r="791" s="176" customFormat="1" ht="14.25"/>
    <row r="792" s="176" customFormat="1" ht="14.25"/>
    <row r="793" s="176" customFormat="1" ht="14.25"/>
    <row r="794" s="176" customFormat="1" ht="14.25"/>
    <row r="795" s="176" customFormat="1" ht="14.25"/>
    <row r="796" s="176" customFormat="1" ht="14.25"/>
    <row r="797" s="176" customFormat="1" ht="14.25"/>
    <row r="798" s="176" customFormat="1" ht="14.25"/>
    <row r="799" s="176" customFormat="1" ht="14.25"/>
    <row r="800" s="176" customFormat="1" ht="14.25"/>
    <row r="801" s="176" customFormat="1" ht="14.25"/>
    <row r="802" s="176" customFormat="1" ht="14.25"/>
    <row r="803" s="176" customFormat="1" ht="14.25"/>
    <row r="804" s="176" customFormat="1" ht="14.25"/>
    <row r="805" s="176" customFormat="1" ht="14.25"/>
    <row r="806" s="176" customFormat="1" ht="14.25"/>
    <row r="807" s="176" customFormat="1" ht="14.25"/>
    <row r="808" s="176" customFormat="1" ht="14.25"/>
    <row r="809" s="176" customFormat="1" ht="14.25"/>
    <row r="810" s="176" customFormat="1" ht="14.25"/>
    <row r="811" s="176" customFormat="1" ht="14.25"/>
    <row r="812" s="176" customFormat="1" ht="14.25"/>
    <row r="813" s="176" customFormat="1" ht="14.25"/>
    <row r="814" s="176" customFormat="1" ht="14.25"/>
    <row r="815" s="176" customFormat="1" ht="14.25"/>
    <row r="816" s="176" customFormat="1" ht="14.25"/>
    <row r="817" s="176" customFormat="1" ht="14.25"/>
    <row r="818" s="176" customFormat="1" ht="14.25"/>
    <row r="819" s="176" customFormat="1" ht="14.25"/>
    <row r="820" s="176" customFormat="1" ht="14.25"/>
    <row r="821" s="176" customFormat="1" ht="14.25"/>
    <row r="822" s="176" customFormat="1" ht="14.25"/>
    <row r="823" s="176" customFormat="1" ht="14.25"/>
    <row r="824" s="176" customFormat="1" ht="14.25"/>
    <row r="825" s="176" customFormat="1" ht="14.25"/>
    <row r="826" s="176" customFormat="1" ht="14.25"/>
    <row r="827" s="176" customFormat="1" ht="14.25"/>
    <row r="828" s="176" customFormat="1" ht="14.25"/>
    <row r="829" s="176" customFormat="1" ht="14.25"/>
    <row r="830" s="176" customFormat="1" ht="14.25"/>
    <row r="831" s="176" customFormat="1" ht="14.25"/>
    <row r="832" s="176" customFormat="1" ht="14.25"/>
    <row r="833" s="176" customFormat="1" ht="14.25"/>
    <row r="834" s="176" customFormat="1" ht="14.25"/>
    <row r="835" s="176" customFormat="1" ht="14.25"/>
    <row r="836" s="176" customFormat="1" ht="14.25"/>
    <row r="837" s="176" customFormat="1" ht="14.25"/>
    <row r="838" s="176" customFormat="1" ht="14.25"/>
    <row r="839" s="176" customFormat="1" ht="14.25"/>
    <row r="840" s="176" customFormat="1" ht="14.25"/>
    <row r="841" s="176" customFormat="1" ht="14.25"/>
    <row r="842" s="176" customFormat="1" ht="14.25"/>
    <row r="843" s="176" customFormat="1" ht="14.25"/>
    <row r="844" s="176" customFormat="1" ht="14.25"/>
    <row r="845" s="176" customFormat="1" ht="14.25"/>
    <row r="846" s="176" customFormat="1" ht="14.25"/>
    <row r="847" s="176" customFormat="1" ht="14.25"/>
    <row r="848" s="176" customFormat="1" ht="14.25"/>
    <row r="849" s="176" customFormat="1" ht="14.25"/>
    <row r="850" s="176" customFormat="1" ht="14.25"/>
    <row r="851" s="176" customFormat="1" ht="14.25"/>
    <row r="852" s="176" customFormat="1" ht="14.25"/>
    <row r="853" s="176" customFormat="1" ht="14.25"/>
    <row r="854" s="176" customFormat="1" ht="14.25"/>
    <row r="855" s="176" customFormat="1" ht="14.25"/>
    <row r="856" s="176" customFormat="1" ht="14.25"/>
    <row r="857" s="176" customFormat="1" ht="14.25"/>
    <row r="858" s="176" customFormat="1" ht="14.25"/>
    <row r="859" s="176" customFormat="1" ht="14.25"/>
    <row r="860" s="176" customFormat="1" ht="14.25"/>
    <row r="861" s="176" customFormat="1" ht="14.25"/>
    <row r="862" s="176" customFormat="1" ht="14.25"/>
    <row r="863" s="176" customFormat="1" ht="14.25"/>
    <row r="864" s="176" customFormat="1" ht="14.25"/>
    <row r="865" s="176" customFormat="1" ht="14.25"/>
    <row r="866" s="176" customFormat="1" ht="14.25"/>
    <row r="867" s="176" customFormat="1" ht="14.25"/>
    <row r="868" s="176" customFormat="1" ht="14.25"/>
    <row r="869" s="176" customFormat="1" ht="14.25"/>
    <row r="870" s="176" customFormat="1" ht="14.25"/>
    <row r="871" s="176" customFormat="1" ht="14.25"/>
    <row r="872" s="176" customFormat="1" ht="14.25"/>
    <row r="873" s="176" customFormat="1" ht="14.25"/>
    <row r="874" s="176" customFormat="1" ht="14.25"/>
    <row r="875" s="176" customFormat="1" ht="14.25"/>
    <row r="876" s="176" customFormat="1" ht="14.25"/>
    <row r="877" s="176" customFormat="1" ht="14.25"/>
    <row r="878" s="176" customFormat="1" ht="14.25"/>
    <row r="879" s="176" customFormat="1" ht="14.25"/>
    <row r="880" s="176" customFormat="1" ht="14.25"/>
    <row r="881" s="176" customFormat="1" ht="14.25"/>
    <row r="882" s="176" customFormat="1" ht="14.25"/>
    <row r="883" s="176" customFormat="1" ht="14.25"/>
    <row r="884" s="176" customFormat="1" ht="14.25"/>
    <row r="885" s="176" customFormat="1" ht="14.25"/>
    <row r="886" s="176" customFormat="1" ht="14.25"/>
    <row r="887" s="176" customFormat="1" ht="14.25"/>
    <row r="888" s="176" customFormat="1" ht="14.25"/>
    <row r="889" s="176" customFormat="1" ht="14.25"/>
    <row r="890" s="176" customFormat="1" ht="14.25"/>
    <row r="891" s="176" customFormat="1" ht="14.25"/>
    <row r="892" s="176" customFormat="1" ht="14.25"/>
    <row r="893" s="176" customFormat="1" ht="14.25"/>
    <row r="894" s="176" customFormat="1" ht="14.25"/>
    <row r="895" s="176" customFormat="1" ht="14.25"/>
    <row r="896" s="176" customFormat="1" ht="14.25"/>
    <row r="897" s="176" customFormat="1" ht="14.25"/>
    <row r="898" s="176" customFormat="1" ht="14.25"/>
    <row r="899" s="176" customFormat="1" ht="14.25"/>
    <row r="900" s="176" customFormat="1" ht="14.25"/>
    <row r="901" s="176" customFormat="1" ht="14.25"/>
    <row r="902" s="176" customFormat="1" ht="14.25"/>
    <row r="903" s="176" customFormat="1" ht="14.25"/>
    <row r="904" s="176" customFormat="1" ht="14.25"/>
    <row r="905" s="176" customFormat="1" ht="14.25"/>
    <row r="906" s="176" customFormat="1" ht="14.25"/>
    <row r="907" s="176" customFormat="1" ht="14.25"/>
    <row r="908" s="176" customFormat="1" ht="14.25"/>
    <row r="909" s="176" customFormat="1" ht="14.25"/>
    <row r="910" s="176" customFormat="1" ht="14.25"/>
    <row r="911" s="176" customFormat="1" ht="14.25"/>
    <row r="912" s="176" customFormat="1" ht="14.25"/>
    <row r="913" s="176" customFormat="1" ht="14.25"/>
    <row r="914" s="176" customFormat="1" ht="14.25"/>
    <row r="915" s="176" customFormat="1" ht="14.25"/>
    <row r="916" s="176" customFormat="1" ht="14.25"/>
    <row r="917" s="176" customFormat="1" ht="14.25"/>
    <row r="918" s="176" customFormat="1" ht="14.25"/>
    <row r="919" s="176" customFormat="1" ht="14.25"/>
    <row r="920" s="176" customFormat="1" ht="14.25"/>
    <row r="921" s="176" customFormat="1" ht="14.25"/>
    <row r="922" s="176" customFormat="1" ht="14.25"/>
    <row r="923" s="176" customFormat="1" ht="14.25"/>
    <row r="924" s="176" customFormat="1" ht="14.25"/>
    <row r="925" s="176" customFormat="1" ht="14.25"/>
    <row r="926" s="176" customFormat="1" ht="14.25"/>
    <row r="927" s="176" customFormat="1" ht="14.25"/>
    <row r="928" s="176" customFormat="1" ht="14.25"/>
    <row r="929" s="176" customFormat="1" ht="14.25"/>
    <row r="930" s="176" customFormat="1" ht="14.25"/>
    <row r="931" s="176" customFormat="1" ht="14.25"/>
    <row r="932" s="176" customFormat="1" ht="14.25"/>
    <row r="933" s="176" customFormat="1" ht="14.25"/>
    <row r="934" s="176" customFormat="1" ht="14.25"/>
    <row r="935" s="176" customFormat="1" ht="14.25"/>
    <row r="936" s="176" customFormat="1" ht="14.25"/>
    <row r="937" s="176" customFormat="1" ht="14.25"/>
    <row r="938" s="176" customFormat="1" ht="14.25"/>
    <row r="939" s="176" customFormat="1" ht="14.25"/>
    <row r="940" s="176" customFormat="1" ht="14.25"/>
    <row r="941" s="176" customFormat="1" ht="14.25"/>
    <row r="942" s="176" customFormat="1" ht="14.25"/>
    <row r="943" s="176" customFormat="1" ht="14.25"/>
    <row r="944" s="176" customFormat="1" ht="14.25"/>
    <row r="945" s="176" customFormat="1" ht="14.25"/>
    <row r="946" s="176" customFormat="1" ht="14.25"/>
    <row r="947" s="176" customFormat="1" ht="14.25"/>
    <row r="948" s="176" customFormat="1" ht="14.25"/>
    <row r="949" s="176" customFormat="1" ht="14.25"/>
    <row r="950" s="176" customFormat="1" ht="14.25"/>
    <row r="951" s="176" customFormat="1" ht="14.25"/>
    <row r="952" s="176" customFormat="1" ht="14.25"/>
    <row r="953" s="176" customFormat="1" ht="14.25"/>
    <row r="954" s="176" customFormat="1" ht="14.25"/>
    <row r="955" s="176" customFormat="1" ht="14.25"/>
    <row r="956" s="176" customFormat="1" ht="14.25"/>
    <row r="957" s="176" customFormat="1" ht="14.25"/>
    <row r="958" s="176" customFormat="1" ht="14.25"/>
    <row r="959" s="176" customFormat="1" ht="14.25"/>
    <row r="960" s="176" customFormat="1" ht="14.25"/>
    <row r="961" s="176" customFormat="1" ht="14.25"/>
    <row r="962" s="176" customFormat="1" ht="14.25"/>
    <row r="963" s="176" customFormat="1" ht="14.25"/>
    <row r="964" s="176" customFormat="1" ht="14.25"/>
    <row r="965" s="176" customFormat="1" ht="14.25"/>
    <row r="966" s="176" customFormat="1" ht="14.25"/>
    <row r="967" s="176" customFormat="1" ht="14.25"/>
    <row r="968" s="176" customFormat="1" ht="14.25"/>
    <row r="969" s="176" customFormat="1" ht="14.25"/>
    <row r="970" s="176" customFormat="1" ht="14.25"/>
    <row r="971" s="176" customFormat="1" ht="14.25"/>
    <row r="972" s="176" customFormat="1" ht="14.25"/>
    <row r="973" s="176" customFormat="1" ht="14.25"/>
    <row r="974" s="176" customFormat="1" ht="14.25"/>
    <row r="975" s="176" customFormat="1" ht="14.25"/>
    <row r="976" s="176" customFormat="1" ht="14.25"/>
    <row r="977" s="176" customFormat="1" ht="14.25"/>
    <row r="978" s="176" customFormat="1" ht="14.25"/>
    <row r="979" s="176" customFormat="1" ht="14.25"/>
    <row r="980" s="176" customFormat="1" ht="14.25"/>
    <row r="981" s="176" customFormat="1" ht="14.25"/>
    <row r="982" s="176" customFormat="1" ht="14.25"/>
    <row r="983" s="176" customFormat="1" ht="14.25"/>
    <row r="984" s="176" customFormat="1" ht="14.25"/>
    <row r="985" s="176" customFormat="1" ht="14.25"/>
    <row r="986" s="176" customFormat="1" ht="14.25"/>
    <row r="987" s="176" customFormat="1" ht="14.25"/>
    <row r="988" s="176" customFormat="1" ht="14.25"/>
    <row r="989" s="176" customFormat="1" ht="14.25"/>
    <row r="990" s="176" customFormat="1" ht="14.25"/>
    <row r="991" s="176" customFormat="1" ht="14.25"/>
    <row r="992" s="176" customFormat="1" ht="14.25"/>
    <row r="993" s="176" customFormat="1" ht="14.25"/>
    <row r="994" s="176" customFormat="1" ht="14.25"/>
    <row r="995" s="176" customFormat="1" ht="14.25"/>
    <row r="996" s="176" customFormat="1" ht="14.25"/>
    <row r="997" s="176" customFormat="1" ht="14.25"/>
    <row r="998" s="176" customFormat="1" ht="14.25"/>
    <row r="999" s="176" customFormat="1" ht="14.25"/>
    <row r="1000" s="176" customFormat="1" ht="14.25"/>
    <row r="1001" s="176" customFormat="1" ht="14.25"/>
    <row r="1002" s="176" customFormat="1" ht="14.25"/>
  </sheetData>
  <sheetProtection password="DEF0" sheet="1" objects="1" scenarios="1"/>
  <mergeCells count="92">
    <mergeCell ref="C10:C12"/>
    <mergeCell ref="C13:C15"/>
    <mergeCell ref="C16:C18"/>
    <mergeCell ref="C20:C22"/>
    <mergeCell ref="G2:G3"/>
    <mergeCell ref="G7:G8"/>
    <mergeCell ref="D2:E3"/>
    <mergeCell ref="F2:F3"/>
    <mergeCell ref="B7:D8"/>
    <mergeCell ref="C5:M5"/>
    <mergeCell ref="F7:F8"/>
    <mergeCell ref="H7:H8"/>
    <mergeCell ref="B10:B18"/>
    <mergeCell ref="B39:C42"/>
    <mergeCell ref="H2:H3"/>
    <mergeCell ref="B30:B38"/>
    <mergeCell ref="C30:C32"/>
    <mergeCell ref="C33:C35"/>
    <mergeCell ref="C36:C38"/>
    <mergeCell ref="B2:C3"/>
    <mergeCell ref="B20:B28"/>
    <mergeCell ref="C23:C25"/>
    <mergeCell ref="C26:C28"/>
    <mergeCell ref="B104:B112"/>
    <mergeCell ref="C104:C106"/>
    <mergeCell ref="C107:C109"/>
    <mergeCell ref="C110:C112"/>
    <mergeCell ref="B84:B92"/>
    <mergeCell ref="C87:C89"/>
    <mergeCell ref="C90:C92"/>
    <mergeCell ref="B94:B102"/>
    <mergeCell ref="C97:C99"/>
    <mergeCell ref="H156:H157"/>
    <mergeCell ref="C154:M154"/>
    <mergeCell ref="B113:C116"/>
    <mergeCell ref="D151:E152"/>
    <mergeCell ref="F151:F152"/>
    <mergeCell ref="G151:G152"/>
    <mergeCell ref="H151:H152"/>
    <mergeCell ref="B151:C152"/>
    <mergeCell ref="G156:G157"/>
    <mergeCell ref="B156:D157"/>
    <mergeCell ref="C100:C102"/>
    <mergeCell ref="C94:C96"/>
    <mergeCell ref="C84:C86"/>
    <mergeCell ref="D76:E77"/>
    <mergeCell ref="F156:F157"/>
    <mergeCell ref="C175:C177"/>
    <mergeCell ref="C165:C167"/>
    <mergeCell ref="B159:B167"/>
    <mergeCell ref="C159:C161"/>
    <mergeCell ref="C162:C164"/>
    <mergeCell ref="B169:B177"/>
    <mergeCell ref="C169:C171"/>
    <mergeCell ref="C172:C174"/>
    <mergeCell ref="G76:G77"/>
    <mergeCell ref="H76:H77"/>
    <mergeCell ref="C79:M79"/>
    <mergeCell ref="B81:D82"/>
    <mergeCell ref="F81:F82"/>
    <mergeCell ref="G81:G82"/>
    <mergeCell ref="H81:H82"/>
    <mergeCell ref="B76:C77"/>
    <mergeCell ref="F76:F77"/>
    <mergeCell ref="B179:B187"/>
    <mergeCell ref="C179:C181"/>
    <mergeCell ref="C182:C184"/>
    <mergeCell ref="C185:C187"/>
    <mergeCell ref="H231:H232"/>
    <mergeCell ref="B188:C191"/>
    <mergeCell ref="B226:C227"/>
    <mergeCell ref="H226:H227"/>
    <mergeCell ref="C229:M229"/>
    <mergeCell ref="F226:F227"/>
    <mergeCell ref="G226:G227"/>
    <mergeCell ref="D226:E227"/>
    <mergeCell ref="B231:D232"/>
    <mergeCell ref="F231:F232"/>
    <mergeCell ref="G231:G232"/>
    <mergeCell ref="B263:C266"/>
    <mergeCell ref="B254:B262"/>
    <mergeCell ref="C254:C256"/>
    <mergeCell ref="C257:C259"/>
    <mergeCell ref="C260:C262"/>
    <mergeCell ref="B244:B252"/>
    <mergeCell ref="B234:B242"/>
    <mergeCell ref="C234:C236"/>
    <mergeCell ref="C250:C252"/>
    <mergeCell ref="C237:C239"/>
    <mergeCell ref="C240:C242"/>
    <mergeCell ref="C244:C246"/>
    <mergeCell ref="C247:C249"/>
  </mergeCells>
  <printOptions/>
  <pageMargins left="0.6692913385826772" right="0.5511811023622047" top="0.5511811023622047" bottom="0.4724409448818898" header="0.3937007874015748" footer="0.1968503937007874"/>
  <pageSetup horizontalDpi="180" verticalDpi="180" orientation="landscape" paperSize="9" scale="65" r:id="rId2"/>
  <headerFooter alignWithMargins="0">
    <oddHeader>&amp;R
</oddHeader>
  </headerFooter>
  <legacyDrawing r:id="rId1"/>
</worksheet>
</file>

<file path=xl/worksheets/sheet15.xml><?xml version="1.0" encoding="utf-8"?>
<worksheet xmlns="http://schemas.openxmlformats.org/spreadsheetml/2006/main" xmlns:r="http://schemas.openxmlformats.org/officeDocument/2006/relationships">
  <sheetPr codeName="Plan211"/>
  <dimension ref="A1:I80"/>
  <sheetViews>
    <sheetView showGridLines="0" showRowColHeaders="0" zoomScale="75" zoomScaleNormal="75" zoomScalePageLayoutView="0" workbookViewId="0" topLeftCell="A1">
      <selection activeCell="H47" sqref="H47"/>
    </sheetView>
  </sheetViews>
  <sheetFormatPr defaultColWidth="0" defaultRowHeight="12.75"/>
  <cols>
    <col min="1" max="1" width="1.7109375" style="58" customWidth="1"/>
    <col min="2" max="2" width="10.7109375" style="58" customWidth="1"/>
    <col min="3" max="3" width="27.7109375" style="58" customWidth="1"/>
    <col min="4" max="4" width="18.7109375" style="58" customWidth="1"/>
    <col min="5" max="5" width="23.7109375" style="58" customWidth="1"/>
    <col min="6" max="7" width="20.7109375" style="58" customWidth="1"/>
    <col min="8" max="8" width="10.7109375" style="58" customWidth="1"/>
    <col min="9" max="9" width="0.85546875" style="58" customWidth="1"/>
    <col min="10" max="16384" width="0" style="58" hidden="1" customWidth="1"/>
  </cols>
  <sheetData>
    <row r="1" spans="1:9" ht="7.5" customHeight="1">
      <c r="A1" s="119"/>
      <c r="B1" s="119"/>
      <c r="C1" s="120"/>
      <c r="D1" s="120"/>
      <c r="E1" s="120"/>
      <c r="F1" s="120"/>
      <c r="G1" s="120"/>
      <c r="H1" s="120"/>
      <c r="I1" s="120"/>
    </row>
    <row r="2" spans="1:9" ht="9.75" customHeight="1">
      <c r="A2" s="119"/>
      <c r="B2" s="677" t="s">
        <v>1144</v>
      </c>
      <c r="C2" s="740"/>
      <c r="D2" s="744" t="str">
        <f>COMANDOBLOQUEADO!S19</f>
        <v>CESÁRIO LANGE</v>
      </c>
      <c r="E2" s="572"/>
      <c r="F2" s="685" t="s">
        <v>268</v>
      </c>
      <c r="G2" s="682" t="str">
        <f>COMANDOBLOQUEADO!U6</f>
        <v>4º TRIMESTRE</v>
      </c>
      <c r="H2" s="682" t="str">
        <f>COMANDOBLOQUEADO!Y6</f>
        <v>2009</v>
      </c>
      <c r="I2" s="120"/>
    </row>
    <row r="3" spans="1:9" ht="9.75" customHeight="1">
      <c r="A3" s="119"/>
      <c r="B3" s="677"/>
      <c r="C3" s="740"/>
      <c r="D3" s="572"/>
      <c r="E3" s="572"/>
      <c r="F3" s="683"/>
      <c r="G3" s="682"/>
      <c r="H3" s="682"/>
      <c r="I3" s="120"/>
    </row>
    <row r="4" spans="1:9" ht="15" customHeight="1">
      <c r="A4" s="120"/>
      <c r="B4" s="120"/>
      <c r="C4" s="154"/>
      <c r="D4" s="57"/>
      <c r="E4" s="57"/>
      <c r="F4" s="57"/>
      <c r="G4" s="57"/>
      <c r="H4" s="57"/>
      <c r="I4" s="120"/>
    </row>
    <row r="5" spans="1:9" ht="21" customHeight="1">
      <c r="A5" s="140"/>
      <c r="B5" s="140"/>
      <c r="C5" s="660" t="s">
        <v>115</v>
      </c>
      <c r="D5" s="661"/>
      <c r="E5" s="661"/>
      <c r="F5" s="661"/>
      <c r="G5" s="661"/>
      <c r="H5" s="661"/>
      <c r="I5" s="120"/>
    </row>
    <row r="6" spans="1:9" ht="15" customHeight="1" thickBot="1">
      <c r="A6" s="140"/>
      <c r="B6" s="140"/>
      <c r="C6" s="52"/>
      <c r="D6" s="52"/>
      <c r="E6" s="142"/>
      <c r="F6" s="142"/>
      <c r="G6" s="142"/>
      <c r="H6" s="142"/>
      <c r="I6" s="120"/>
    </row>
    <row r="7" spans="1:9" ht="15" customHeight="1">
      <c r="A7" s="122"/>
      <c r="B7" s="782" t="s">
        <v>116</v>
      </c>
      <c r="C7" s="806"/>
      <c r="D7" s="806"/>
      <c r="E7" s="806"/>
      <c r="F7" s="806"/>
      <c r="G7" s="728" t="s">
        <v>1107</v>
      </c>
      <c r="H7" s="788"/>
      <c r="I7" s="120"/>
    </row>
    <row r="8" spans="1:9" ht="13.5" customHeight="1" thickBot="1">
      <c r="A8" s="122"/>
      <c r="B8" s="807"/>
      <c r="C8" s="808"/>
      <c r="D8" s="808"/>
      <c r="E8" s="808"/>
      <c r="F8" s="808"/>
      <c r="G8" s="789" t="s">
        <v>192</v>
      </c>
      <c r="H8" s="790"/>
      <c r="I8" s="120"/>
    </row>
    <row r="9" spans="1:9" ht="15" customHeight="1">
      <c r="A9" s="122"/>
      <c r="B9" s="654" t="s">
        <v>630</v>
      </c>
      <c r="C9" s="773"/>
      <c r="D9" s="773"/>
      <c r="E9" s="774"/>
      <c r="F9" s="774"/>
      <c r="G9" s="775">
        <v>0</v>
      </c>
      <c r="H9" s="776"/>
      <c r="I9" s="120"/>
    </row>
    <row r="10" spans="1:9" ht="15" customHeight="1" thickBot="1">
      <c r="A10" s="122"/>
      <c r="B10" s="196" t="s">
        <v>1256</v>
      </c>
      <c r="C10" s="757" t="s">
        <v>636</v>
      </c>
      <c r="D10" s="757"/>
      <c r="E10" s="758"/>
      <c r="F10" s="759"/>
      <c r="G10" s="780">
        <v>0</v>
      </c>
      <c r="H10" s="781"/>
      <c r="I10" s="120"/>
    </row>
    <row r="11" spans="1:9" ht="15" customHeight="1" thickBot="1">
      <c r="A11" s="122"/>
      <c r="B11" s="198" t="s">
        <v>1272</v>
      </c>
      <c r="C11" s="777" t="s">
        <v>765</v>
      </c>
      <c r="D11" s="777"/>
      <c r="E11" s="753"/>
      <c r="F11" s="754"/>
      <c r="G11" s="778">
        <f>G9-G10</f>
        <v>0</v>
      </c>
      <c r="H11" s="779"/>
      <c r="I11" s="120"/>
    </row>
    <row r="12" spans="1:9" ht="15" customHeight="1">
      <c r="A12" s="122"/>
      <c r="B12" s="197" t="s">
        <v>1255</v>
      </c>
      <c r="C12" s="760" t="s">
        <v>633</v>
      </c>
      <c r="D12" s="760"/>
      <c r="E12" s="761"/>
      <c r="F12" s="762"/>
      <c r="G12" s="797">
        <f>IF(COMANDOBLOQUEADO!$U$6="1º TRIMESTRE",REPASSES!H40,IF(COMANDOBLOQUEADO!$U$6="2º TRIMESTRE",REPASSES!H40+REPASSES!H114,IF(COMANDOBLOQUEADO!$U$6="3º TRIMESTRE",REPASSES!H40+REPASSES!H114+REPASSES!H189,REPASSES!H40+REPASSES!H114+REPASSES!H189+REPASSES!H264)))</f>
        <v>1235637.75</v>
      </c>
      <c r="H12" s="798"/>
      <c r="I12" s="120"/>
    </row>
    <row r="13" spans="1:9" ht="15" customHeight="1">
      <c r="A13" s="122"/>
      <c r="B13" s="196" t="s">
        <v>1255</v>
      </c>
      <c r="C13" s="757" t="s">
        <v>632</v>
      </c>
      <c r="D13" s="757"/>
      <c r="E13" s="758"/>
      <c r="F13" s="759"/>
      <c r="G13" s="797">
        <f>IF(COMANDOBLOQUEADO!$U$6="1º TRIMESTRE",ADICIONAIS!E30,IF(COMANDOBLOQUEADO!$U$6="2º TRIMESTRE",ADICIONAIS!F30,IF(COMANDOBLOQUEADO!$U$6="3º TRIMESTRE",ADICIONAIS!G30,ADICIONAIS!H30)))</f>
        <v>0</v>
      </c>
      <c r="H13" s="798"/>
      <c r="I13" s="120"/>
    </row>
    <row r="14" spans="2:9" ht="15" customHeight="1">
      <c r="B14" s="196" t="s">
        <v>1256</v>
      </c>
      <c r="C14" s="757" t="s">
        <v>640</v>
      </c>
      <c r="D14" s="757"/>
      <c r="E14" s="758"/>
      <c r="F14" s="759"/>
      <c r="G14" s="799">
        <f>ADMERFUND!I54+INJAESP!I58-GLOSAS!I34-GLOSAS!I43-GLOSAS!I52</f>
        <v>1466688.6099999999</v>
      </c>
      <c r="H14" s="800"/>
      <c r="I14" s="143"/>
    </row>
    <row r="15" spans="2:9" ht="15" customHeight="1">
      <c r="B15" s="196" t="s">
        <v>1256</v>
      </c>
      <c r="C15" s="757" t="s">
        <v>34</v>
      </c>
      <c r="D15" s="757"/>
      <c r="E15" s="758"/>
      <c r="F15" s="759"/>
      <c r="G15" s="810">
        <f>GLOSAS!I43</f>
        <v>0</v>
      </c>
      <c r="H15" s="811"/>
      <c r="I15" s="143"/>
    </row>
    <row r="16" spans="2:9" ht="15" customHeight="1" thickBot="1">
      <c r="B16" s="426" t="s">
        <v>1256</v>
      </c>
      <c r="C16" s="792" t="s">
        <v>635</v>
      </c>
      <c r="D16" s="792"/>
      <c r="E16" s="793"/>
      <c r="F16" s="794"/>
      <c r="G16" s="795">
        <v>0</v>
      </c>
      <c r="H16" s="796"/>
      <c r="I16" s="143"/>
    </row>
    <row r="17" spans="2:9" ht="15" customHeight="1" thickBot="1">
      <c r="B17" s="658" t="s">
        <v>736</v>
      </c>
      <c r="C17" s="752"/>
      <c r="D17" s="752"/>
      <c r="E17" s="753"/>
      <c r="F17" s="754"/>
      <c r="G17" s="755">
        <f>G11+G12+G13-G14-G15-G16</f>
        <v>-231050.85999999987</v>
      </c>
      <c r="H17" s="756"/>
      <c r="I17" s="143"/>
    </row>
    <row r="18" spans="1:9" ht="12.75" customHeight="1" thickBot="1">
      <c r="A18" s="140"/>
      <c r="B18" s="140"/>
      <c r="C18" s="52"/>
      <c r="D18" s="52"/>
      <c r="E18" s="142"/>
      <c r="F18" s="142"/>
      <c r="G18" s="791"/>
      <c r="H18" s="809"/>
      <c r="I18" s="120"/>
    </row>
    <row r="19" spans="1:9" ht="15" customHeight="1">
      <c r="A19" s="122"/>
      <c r="B19" s="782" t="s">
        <v>766</v>
      </c>
      <c r="C19" s="783"/>
      <c r="D19" s="783"/>
      <c r="E19" s="784"/>
      <c r="F19" s="784"/>
      <c r="G19" s="728" t="s">
        <v>1107</v>
      </c>
      <c r="H19" s="788"/>
      <c r="I19" s="120"/>
    </row>
    <row r="20" spans="1:9" ht="13.5" customHeight="1" thickBot="1">
      <c r="A20" s="122"/>
      <c r="B20" s="785"/>
      <c r="C20" s="786"/>
      <c r="D20" s="786"/>
      <c r="E20" s="787"/>
      <c r="F20" s="787"/>
      <c r="G20" s="789" t="s">
        <v>192</v>
      </c>
      <c r="H20" s="790"/>
      <c r="I20" s="120"/>
    </row>
    <row r="21" spans="1:9" ht="15" customHeight="1">
      <c r="A21" s="122"/>
      <c r="B21" s="654" t="s">
        <v>630</v>
      </c>
      <c r="C21" s="773"/>
      <c r="D21" s="773"/>
      <c r="E21" s="774"/>
      <c r="F21" s="774"/>
      <c r="G21" s="775">
        <v>194888.14</v>
      </c>
      <c r="H21" s="776"/>
      <c r="I21" s="120"/>
    </row>
    <row r="22" spans="1:9" ht="15" customHeight="1" thickBot="1">
      <c r="A22" s="122"/>
      <c r="B22" s="196" t="s">
        <v>1256</v>
      </c>
      <c r="C22" s="757" t="s">
        <v>639</v>
      </c>
      <c r="D22" s="757"/>
      <c r="E22" s="758"/>
      <c r="F22" s="759"/>
      <c r="G22" s="780">
        <v>193716.67</v>
      </c>
      <c r="H22" s="781"/>
      <c r="I22" s="120"/>
    </row>
    <row r="23" spans="1:9" ht="15" customHeight="1" thickBot="1">
      <c r="A23" s="122"/>
      <c r="B23" s="198" t="s">
        <v>1272</v>
      </c>
      <c r="C23" s="777" t="s">
        <v>765</v>
      </c>
      <c r="D23" s="777"/>
      <c r="E23" s="753"/>
      <c r="F23" s="754"/>
      <c r="G23" s="778">
        <f>G21-G22</f>
        <v>1171.4700000000012</v>
      </c>
      <c r="H23" s="779"/>
      <c r="I23" s="120"/>
    </row>
    <row r="24" spans="1:9" ht="15" customHeight="1">
      <c r="A24" s="122"/>
      <c r="B24" s="197" t="s">
        <v>1255</v>
      </c>
      <c r="C24" s="760" t="s">
        <v>637</v>
      </c>
      <c r="D24" s="760"/>
      <c r="E24" s="761"/>
      <c r="F24" s="762"/>
      <c r="G24" s="797">
        <f>IF(COMANDOBLOQUEADO!$U$6="1º TRIMESTRE",RECEITAS!E45,IF(COMANDOBLOQUEADO!$U$6="2º TRIMESTRE",RECEITAS!F45,IF(COMANDOBLOQUEADO!$U$6="3º TRIMESTRE",RECEITAS!G45,RECEITAS!H45)))</f>
        <v>6242462.49</v>
      </c>
      <c r="H24" s="798"/>
      <c r="I24" s="120"/>
    </row>
    <row r="25" spans="1:9" ht="15" customHeight="1">
      <c r="A25" s="122"/>
      <c r="B25" s="196" t="s">
        <v>1255</v>
      </c>
      <c r="C25" s="757" t="s">
        <v>632</v>
      </c>
      <c r="D25" s="757"/>
      <c r="E25" s="758"/>
      <c r="F25" s="759"/>
      <c r="G25" s="797">
        <f>IF(COMANDOBLOQUEADO!$U$6="1º TRIMESTRE",RECEITAS!E46,IF(COMANDOBLOQUEADO!$U$6="2º TRIMESTRE",RECEITAS!F46,IF(COMANDOBLOQUEADO!$U$6="3º TRIMESTRE",RECEITAS!G46,RECEITAS!H46)))</f>
        <v>85171.85</v>
      </c>
      <c r="H25" s="798"/>
      <c r="I25" s="120"/>
    </row>
    <row r="26" spans="2:9" ht="15" customHeight="1" thickBot="1">
      <c r="B26" s="517" t="s">
        <v>1256</v>
      </c>
      <c r="C26" s="768" t="s">
        <v>638</v>
      </c>
      <c r="D26" s="768"/>
      <c r="E26" s="769"/>
      <c r="F26" s="770"/>
      <c r="G26" s="771">
        <f>FUNDEB!I60</f>
        <v>6191148.9</v>
      </c>
      <c r="H26" s="772"/>
      <c r="I26" s="143"/>
    </row>
    <row r="27" spans="2:9" ht="15" customHeight="1" thickBot="1">
      <c r="B27" s="658" t="s">
        <v>736</v>
      </c>
      <c r="C27" s="752"/>
      <c r="D27" s="752"/>
      <c r="E27" s="753"/>
      <c r="F27" s="754"/>
      <c r="G27" s="755">
        <f>G23+G24+G25-G26</f>
        <v>137656.90999999922</v>
      </c>
      <c r="H27" s="756"/>
      <c r="I27" s="143"/>
    </row>
    <row r="28" spans="2:8" ht="12.75" customHeight="1" thickBot="1">
      <c r="B28" s="161"/>
      <c r="C28" s="161"/>
      <c r="D28" s="161"/>
      <c r="E28" s="161"/>
      <c r="F28" s="161"/>
      <c r="G28" s="791"/>
      <c r="H28" s="774"/>
    </row>
    <row r="29" spans="1:9" ht="15" customHeight="1">
      <c r="A29" s="122"/>
      <c r="B29" s="730" t="s">
        <v>1196</v>
      </c>
      <c r="C29" s="801"/>
      <c r="D29" s="801"/>
      <c r="E29" s="784"/>
      <c r="F29" s="784"/>
      <c r="G29" s="728" t="s">
        <v>1107</v>
      </c>
      <c r="H29" s="788"/>
      <c r="I29" s="120"/>
    </row>
    <row r="30" spans="1:9" ht="13.5" customHeight="1" thickBot="1">
      <c r="A30" s="122"/>
      <c r="B30" s="802"/>
      <c r="C30" s="803"/>
      <c r="D30" s="803"/>
      <c r="E30" s="787"/>
      <c r="F30" s="787"/>
      <c r="G30" s="789" t="s">
        <v>192</v>
      </c>
      <c r="H30" s="790"/>
      <c r="I30" s="120"/>
    </row>
    <row r="31" spans="1:9" ht="15" customHeight="1">
      <c r="A31" s="122"/>
      <c r="B31" s="654" t="s">
        <v>630</v>
      </c>
      <c r="C31" s="773"/>
      <c r="D31" s="773"/>
      <c r="E31" s="774"/>
      <c r="F31" s="774"/>
      <c r="G31" s="775">
        <v>27205.51</v>
      </c>
      <c r="H31" s="776"/>
      <c r="I31" s="120"/>
    </row>
    <row r="32" spans="1:9" ht="15" customHeight="1" thickBot="1">
      <c r="A32" s="122"/>
      <c r="B32" s="196" t="s">
        <v>1256</v>
      </c>
      <c r="C32" s="757" t="s">
        <v>639</v>
      </c>
      <c r="D32" s="757"/>
      <c r="E32" s="758"/>
      <c r="F32" s="759"/>
      <c r="G32" s="780">
        <v>27205.51</v>
      </c>
      <c r="H32" s="781"/>
      <c r="I32" s="120"/>
    </row>
    <row r="33" spans="1:9" ht="15" customHeight="1" thickBot="1">
      <c r="A33" s="122"/>
      <c r="B33" s="198" t="s">
        <v>1272</v>
      </c>
      <c r="C33" s="777" t="s">
        <v>765</v>
      </c>
      <c r="D33" s="777"/>
      <c r="E33" s="753"/>
      <c r="F33" s="754"/>
      <c r="G33" s="778">
        <f>G31-G32</f>
        <v>0</v>
      </c>
      <c r="H33" s="779"/>
      <c r="I33" s="120"/>
    </row>
    <row r="34" spans="1:9" ht="15" customHeight="1">
      <c r="A34" s="122"/>
      <c r="B34" s="197" t="s">
        <v>1255</v>
      </c>
      <c r="C34" s="760" t="s">
        <v>637</v>
      </c>
      <c r="D34" s="760"/>
      <c r="E34" s="761"/>
      <c r="F34" s="762"/>
      <c r="G34" s="797">
        <f>IF(COMANDOBLOQUEADO!$U$6="1º TRIMESTRE",ADICIONAIS!E11,IF(COMANDOBLOQUEADO!$U$6="2º TRIMESTRE",ADICIONAIS!F11,IF(COMANDOBLOQUEADO!$U$6="3º TRIMESTRE",ADICIONAIS!G11,ADICIONAIS!H11)))</f>
        <v>0</v>
      </c>
      <c r="H34" s="798"/>
      <c r="I34" s="120"/>
    </row>
    <row r="35" spans="1:9" ht="15" customHeight="1">
      <c r="A35" s="122"/>
      <c r="B35" s="196" t="s">
        <v>1255</v>
      </c>
      <c r="C35" s="757" t="s">
        <v>632</v>
      </c>
      <c r="D35" s="757"/>
      <c r="E35" s="758"/>
      <c r="F35" s="759"/>
      <c r="G35" s="797">
        <f>IF(COMANDOBLOQUEADO!$U$6="1º TRIMESTRE",ADICIONAIS!E31+ADICIONAIS!E32,IF(COMANDOBLOQUEADO!$U$6="2º TRIMESTRE",ADICIONAIS!F31+ADICIONAIS!F32,IF(COMANDOBLOQUEADO!$U$6="3º TRIMESTRE",ADICIONAIS!G31+ADICIONAIS!G32,ADICIONAIS!H31+ADICIONAIS!H32)))</f>
        <v>0</v>
      </c>
      <c r="H35" s="798"/>
      <c r="I35" s="120"/>
    </row>
    <row r="36" spans="2:9" ht="15" customHeight="1">
      <c r="B36" s="196" t="s">
        <v>1256</v>
      </c>
      <c r="C36" s="757" t="s">
        <v>634</v>
      </c>
      <c r="D36" s="757"/>
      <c r="E36" s="758"/>
      <c r="F36" s="759"/>
      <c r="G36" s="799">
        <f>GLOSAS!I13</f>
        <v>721872.22</v>
      </c>
      <c r="H36" s="800"/>
      <c r="I36" s="143"/>
    </row>
    <row r="37" spans="2:9" ht="15" customHeight="1" thickBot="1">
      <c r="B37" s="426" t="s">
        <v>1256</v>
      </c>
      <c r="C37" s="792" t="s">
        <v>635</v>
      </c>
      <c r="D37" s="792"/>
      <c r="E37" s="793"/>
      <c r="F37" s="794"/>
      <c r="G37" s="795">
        <v>0</v>
      </c>
      <c r="H37" s="796"/>
      <c r="I37" s="143"/>
    </row>
    <row r="38" spans="2:9" ht="15" customHeight="1" thickBot="1">
      <c r="B38" s="658" t="s">
        <v>736</v>
      </c>
      <c r="C38" s="752"/>
      <c r="D38" s="752"/>
      <c r="E38" s="753"/>
      <c r="F38" s="754"/>
      <c r="G38" s="755">
        <f>G33+G34+G35-G36-G37</f>
        <v>-721872.22</v>
      </c>
      <c r="H38" s="756"/>
      <c r="I38" s="143"/>
    </row>
    <row r="39" spans="1:9" ht="12.75" customHeight="1" thickBot="1">
      <c r="A39" s="122"/>
      <c r="B39" s="122"/>
      <c r="C39" s="804"/>
      <c r="D39" s="805"/>
      <c r="E39" s="142"/>
      <c r="F39" s="142"/>
      <c r="G39" s="791"/>
      <c r="H39" s="774"/>
      <c r="I39" s="120"/>
    </row>
    <row r="40" spans="1:9" ht="15" customHeight="1">
      <c r="A40" s="122"/>
      <c r="B40" s="730" t="s">
        <v>768</v>
      </c>
      <c r="C40" s="801"/>
      <c r="D40" s="801"/>
      <c r="E40" s="784"/>
      <c r="F40" s="784"/>
      <c r="G40" s="728" t="s">
        <v>1107</v>
      </c>
      <c r="H40" s="788"/>
      <c r="I40" s="120"/>
    </row>
    <row r="41" spans="1:9" ht="13.5" customHeight="1" thickBot="1">
      <c r="A41" s="122"/>
      <c r="B41" s="802"/>
      <c r="C41" s="803"/>
      <c r="D41" s="803"/>
      <c r="E41" s="787"/>
      <c r="F41" s="787"/>
      <c r="G41" s="789" t="s">
        <v>192</v>
      </c>
      <c r="H41" s="790"/>
      <c r="I41" s="120"/>
    </row>
    <row r="42" spans="1:9" ht="15" customHeight="1">
      <c r="A42" s="122"/>
      <c r="B42" s="654" t="s">
        <v>630</v>
      </c>
      <c r="C42" s="773"/>
      <c r="D42" s="773"/>
      <c r="E42" s="774"/>
      <c r="F42" s="774"/>
      <c r="G42" s="775">
        <v>0</v>
      </c>
      <c r="H42" s="776"/>
      <c r="I42" s="120"/>
    </row>
    <row r="43" spans="1:9" ht="15" customHeight="1" thickBot="1">
      <c r="A43" s="122"/>
      <c r="B43" s="196" t="s">
        <v>1256</v>
      </c>
      <c r="C43" s="757" t="s">
        <v>639</v>
      </c>
      <c r="D43" s="757"/>
      <c r="E43" s="758"/>
      <c r="F43" s="759"/>
      <c r="G43" s="780">
        <v>0</v>
      </c>
      <c r="H43" s="781"/>
      <c r="I43" s="120"/>
    </row>
    <row r="44" spans="1:9" ht="15" customHeight="1" thickBot="1">
      <c r="A44" s="122"/>
      <c r="B44" s="198" t="s">
        <v>1272</v>
      </c>
      <c r="C44" s="777" t="s">
        <v>765</v>
      </c>
      <c r="D44" s="777"/>
      <c r="E44" s="753"/>
      <c r="F44" s="754"/>
      <c r="G44" s="778">
        <f>G42-G43</f>
        <v>0</v>
      </c>
      <c r="H44" s="779"/>
      <c r="I44" s="120"/>
    </row>
    <row r="45" spans="1:9" ht="15" customHeight="1">
      <c r="A45" s="122"/>
      <c r="B45" s="197" t="s">
        <v>1255</v>
      </c>
      <c r="C45" s="760" t="s">
        <v>637</v>
      </c>
      <c r="D45" s="760"/>
      <c r="E45" s="761"/>
      <c r="F45" s="762"/>
      <c r="G45" s="797">
        <f>IF(COMANDOBLOQUEADO!$U$6="1º TRIMESTRE",ADICIONAIS!E14,IF(COMANDOBLOQUEADO!$U$6="2º TRIMESTRE",ADICIONAIS!F14,IF(COMANDOBLOQUEADO!$U$6="3º TRIMESTRE",ADICIONAIS!G14,ADICIONAIS!H14)))</f>
        <v>104600</v>
      </c>
      <c r="H45" s="798"/>
      <c r="I45" s="120"/>
    </row>
    <row r="46" spans="1:9" ht="15" customHeight="1">
      <c r="A46" s="122"/>
      <c r="B46" s="196" t="s">
        <v>1255</v>
      </c>
      <c r="C46" s="757" t="s">
        <v>632</v>
      </c>
      <c r="D46" s="757"/>
      <c r="E46" s="758"/>
      <c r="F46" s="759"/>
      <c r="G46" s="797">
        <f>IF(COMANDOBLOQUEADO!$U$6="1º TRIMESTRE",ADICIONAIS!E33,IF(COMANDOBLOQUEADO!$U$6="2º TRIMESTRE",ADICIONAIS!F33,IF(COMANDOBLOQUEADO!$U$6="3º TRIMESTRE",ADICIONAIS!G33,ADICIONAIS!H33)))</f>
        <v>648.16</v>
      </c>
      <c r="H46" s="798"/>
      <c r="I46" s="120"/>
    </row>
    <row r="47" spans="2:9" ht="15" customHeight="1">
      <c r="B47" s="196" t="s">
        <v>1256</v>
      </c>
      <c r="C47" s="757" t="s">
        <v>634</v>
      </c>
      <c r="D47" s="757"/>
      <c r="E47" s="758"/>
      <c r="F47" s="759"/>
      <c r="G47" s="799">
        <f>GLOSAS!I18</f>
        <v>95436.02</v>
      </c>
      <c r="H47" s="800"/>
      <c r="I47" s="143"/>
    </row>
    <row r="48" spans="2:9" ht="15" customHeight="1" thickBot="1">
      <c r="B48" s="426" t="s">
        <v>1256</v>
      </c>
      <c r="C48" s="792" t="s">
        <v>635</v>
      </c>
      <c r="D48" s="792"/>
      <c r="E48" s="793"/>
      <c r="F48" s="794"/>
      <c r="G48" s="795"/>
      <c r="H48" s="796"/>
      <c r="I48" s="143"/>
    </row>
    <row r="49" spans="2:9" ht="15" customHeight="1" thickBot="1">
      <c r="B49" s="658" t="s">
        <v>736</v>
      </c>
      <c r="C49" s="752"/>
      <c r="D49" s="752"/>
      <c r="E49" s="753"/>
      <c r="F49" s="754"/>
      <c r="G49" s="755">
        <f>G44+G45+G46-G47-G48</f>
        <v>9812.14</v>
      </c>
      <c r="H49" s="756"/>
      <c r="I49" s="143"/>
    </row>
    <row r="50" spans="1:9" ht="12.75" customHeight="1" thickBot="1">
      <c r="A50" s="122"/>
      <c r="B50" s="122"/>
      <c r="C50" s="804"/>
      <c r="D50" s="805"/>
      <c r="E50" s="142"/>
      <c r="F50" s="142"/>
      <c r="G50" s="791"/>
      <c r="H50" s="774"/>
      <c r="I50" s="120"/>
    </row>
    <row r="51" spans="1:9" ht="15" customHeight="1">
      <c r="A51" s="122"/>
      <c r="B51" s="730" t="s">
        <v>631</v>
      </c>
      <c r="C51" s="801"/>
      <c r="D51" s="801"/>
      <c r="E51" s="784"/>
      <c r="F51" s="784"/>
      <c r="G51" s="728" t="s">
        <v>1107</v>
      </c>
      <c r="H51" s="788"/>
      <c r="I51" s="120"/>
    </row>
    <row r="52" spans="1:9" ht="13.5" customHeight="1" thickBot="1">
      <c r="A52" s="122"/>
      <c r="B52" s="802"/>
      <c r="C52" s="803"/>
      <c r="D52" s="803"/>
      <c r="E52" s="787"/>
      <c r="F52" s="787"/>
      <c r="G52" s="789" t="s">
        <v>192</v>
      </c>
      <c r="H52" s="790"/>
      <c r="I52" s="120"/>
    </row>
    <row r="53" spans="1:9" ht="15" customHeight="1">
      <c r="A53" s="122"/>
      <c r="B53" s="654" t="s">
        <v>630</v>
      </c>
      <c r="C53" s="773"/>
      <c r="D53" s="773"/>
      <c r="E53" s="774"/>
      <c r="F53" s="774"/>
      <c r="G53" s="775">
        <v>739920.85</v>
      </c>
      <c r="H53" s="776"/>
      <c r="I53" s="120"/>
    </row>
    <row r="54" spans="1:9" ht="15" customHeight="1" thickBot="1">
      <c r="A54" s="122"/>
      <c r="B54" s="196" t="s">
        <v>1256</v>
      </c>
      <c r="C54" s="757" t="s">
        <v>639</v>
      </c>
      <c r="D54" s="757"/>
      <c r="E54" s="758"/>
      <c r="F54" s="759"/>
      <c r="G54" s="780">
        <v>0</v>
      </c>
      <c r="H54" s="781"/>
      <c r="I54" s="120"/>
    </row>
    <row r="55" spans="1:9" ht="15" customHeight="1" thickBot="1">
      <c r="A55" s="122"/>
      <c r="B55" s="198" t="s">
        <v>1272</v>
      </c>
      <c r="C55" s="777" t="s">
        <v>765</v>
      </c>
      <c r="D55" s="777"/>
      <c r="E55" s="753"/>
      <c r="F55" s="754"/>
      <c r="G55" s="778">
        <f>G53-G54</f>
        <v>739920.85</v>
      </c>
      <c r="H55" s="779"/>
      <c r="I55" s="120"/>
    </row>
    <row r="56" spans="1:9" ht="15" customHeight="1">
      <c r="A56" s="122"/>
      <c r="B56" s="197" t="s">
        <v>1255</v>
      </c>
      <c r="C56" s="760" t="s">
        <v>637</v>
      </c>
      <c r="D56" s="760"/>
      <c r="E56" s="761"/>
      <c r="F56" s="762"/>
      <c r="G56" s="797">
        <f>IF(COMANDOBLOQUEADO!$U$6="1º TRIMESTRE",ADICIONAIS!E15+ADICIONAIS!E16,IF(COMANDOBLOQUEADO!$U$6="2º TRIMESTRE",ADICIONAIS!F15+ADICIONAIS!F16,IF(COMANDOBLOQUEADO!$U$6="3º TRIMESTRE",ADICIONAIS!G15+ADICIONAIS!G16,ADICIONAIS!H15+ADICIONAIS!H16)))</f>
        <v>0</v>
      </c>
      <c r="H56" s="798"/>
      <c r="I56" s="120"/>
    </row>
    <row r="57" spans="1:9" ht="15" customHeight="1">
      <c r="A57" s="122"/>
      <c r="B57" s="196" t="s">
        <v>1255</v>
      </c>
      <c r="C57" s="757" t="s">
        <v>632</v>
      </c>
      <c r="D57" s="757"/>
      <c r="E57" s="758"/>
      <c r="F57" s="759"/>
      <c r="G57" s="797">
        <f>IF(COMANDOBLOQUEADO!$U$6="1º TRIMESTRE",ADICIONAIS!E34+ADICIONAIS!E35,IF(COMANDOBLOQUEADO!$U$6="2º TRIMESTRE",ADICIONAIS!F34+ADICIONAIS!F35,IF(COMANDOBLOQUEADO!$U$6="3º TRIMESTRE",ADICIONAIS!G34+ADICIONAIS!G35,ADICIONAIS!H34+ADICIONAIS!H35)))</f>
        <v>0</v>
      </c>
      <c r="H57" s="798"/>
      <c r="I57" s="120"/>
    </row>
    <row r="58" spans="2:9" ht="15" customHeight="1">
      <c r="B58" s="196" t="s">
        <v>1256</v>
      </c>
      <c r="C58" s="757" t="s">
        <v>634</v>
      </c>
      <c r="D58" s="757"/>
      <c r="E58" s="758"/>
      <c r="F58" s="759"/>
      <c r="G58" s="799">
        <f>GLOSAS!I23+GLOSAS!I28</f>
        <v>0</v>
      </c>
      <c r="H58" s="800"/>
      <c r="I58" s="143"/>
    </row>
    <row r="59" spans="2:9" ht="15" customHeight="1" thickBot="1">
      <c r="B59" s="426" t="s">
        <v>1256</v>
      </c>
      <c r="C59" s="792" t="s">
        <v>635</v>
      </c>
      <c r="D59" s="792"/>
      <c r="E59" s="793"/>
      <c r="F59" s="794"/>
      <c r="G59" s="795">
        <v>0</v>
      </c>
      <c r="H59" s="796"/>
      <c r="I59" s="143"/>
    </row>
    <row r="60" spans="2:9" ht="15" customHeight="1" thickBot="1">
      <c r="B60" s="658" t="s">
        <v>736</v>
      </c>
      <c r="C60" s="752"/>
      <c r="D60" s="752"/>
      <c r="E60" s="753"/>
      <c r="F60" s="754"/>
      <c r="G60" s="755">
        <f>G55+G56+G57-G58-G59</f>
        <v>739920.85</v>
      </c>
      <c r="H60" s="756"/>
      <c r="I60" s="143"/>
    </row>
    <row r="61" spans="1:9" ht="12.75" customHeight="1" thickBot="1">
      <c r="A61" s="122"/>
      <c r="B61" s="122"/>
      <c r="C61" s="804"/>
      <c r="D61" s="805"/>
      <c r="E61" s="142"/>
      <c r="F61" s="142"/>
      <c r="G61" s="791"/>
      <c r="H61" s="774"/>
      <c r="I61" s="120"/>
    </row>
    <row r="62" spans="1:9" ht="15" customHeight="1">
      <c r="A62" s="122"/>
      <c r="B62" s="730" t="s">
        <v>769</v>
      </c>
      <c r="C62" s="801"/>
      <c r="D62" s="801"/>
      <c r="E62" s="784"/>
      <c r="F62" s="784"/>
      <c r="G62" s="728" t="s">
        <v>1107</v>
      </c>
      <c r="H62" s="788"/>
      <c r="I62" s="120"/>
    </row>
    <row r="63" spans="1:9" ht="13.5" customHeight="1" thickBot="1">
      <c r="A63" s="122"/>
      <c r="B63" s="802"/>
      <c r="C63" s="803"/>
      <c r="D63" s="803"/>
      <c r="E63" s="787"/>
      <c r="F63" s="787"/>
      <c r="G63" s="789" t="s">
        <v>192</v>
      </c>
      <c r="H63" s="790"/>
      <c r="I63" s="120"/>
    </row>
    <row r="64" spans="1:9" ht="15" customHeight="1">
      <c r="A64" s="122"/>
      <c r="B64" s="654" t="s">
        <v>630</v>
      </c>
      <c r="C64" s="773"/>
      <c r="D64" s="773"/>
      <c r="E64" s="774"/>
      <c r="F64" s="774"/>
      <c r="G64" s="775">
        <f>2798.07+0.06</f>
        <v>2798.13</v>
      </c>
      <c r="H64" s="776"/>
      <c r="I64" s="120"/>
    </row>
    <row r="65" spans="1:9" ht="15" customHeight="1" thickBot="1">
      <c r="A65" s="122"/>
      <c r="B65" s="196" t="s">
        <v>1256</v>
      </c>
      <c r="C65" s="757" t="s">
        <v>639</v>
      </c>
      <c r="D65" s="757"/>
      <c r="E65" s="758"/>
      <c r="F65" s="759"/>
      <c r="G65" s="780">
        <f>G64</f>
        <v>2798.13</v>
      </c>
      <c r="H65" s="781"/>
      <c r="I65" s="120"/>
    </row>
    <row r="66" spans="1:9" ht="15" customHeight="1" thickBot="1">
      <c r="A66" s="122"/>
      <c r="B66" s="198" t="s">
        <v>1272</v>
      </c>
      <c r="C66" s="777" t="s">
        <v>765</v>
      </c>
      <c r="D66" s="777"/>
      <c r="E66" s="753"/>
      <c r="F66" s="754"/>
      <c r="G66" s="778">
        <f>G64-G65</f>
        <v>0</v>
      </c>
      <c r="H66" s="779"/>
      <c r="I66" s="120"/>
    </row>
    <row r="67" spans="1:9" ht="15" customHeight="1">
      <c r="A67" s="122"/>
      <c r="B67" s="197" t="s">
        <v>1255</v>
      </c>
      <c r="C67" s="760" t="s">
        <v>637</v>
      </c>
      <c r="D67" s="760"/>
      <c r="E67" s="761"/>
      <c r="F67" s="762"/>
      <c r="G67" s="797">
        <f>IF(COMANDOBLOQUEADO!$U$6="1º TRIMESTRE",SUM(ADICIONAIS!E17:E23),IF(COMANDOBLOQUEADO!$U$6="2º TRIMESTRE",SUM(ADICIONAIS!F17:F23),IF(COMANDOBLOQUEADO!$U$6="3º TRIMESTRE",SUM(ADICIONAIS!G17:G23),SUM(ADICIONAIS!H17:H23))))</f>
        <v>1277225.19</v>
      </c>
      <c r="H67" s="798"/>
      <c r="I67" s="120"/>
    </row>
    <row r="68" spans="1:9" ht="15" customHeight="1">
      <c r="A68" s="122"/>
      <c r="B68" s="196" t="s">
        <v>1255</v>
      </c>
      <c r="C68" s="757" t="s">
        <v>632</v>
      </c>
      <c r="D68" s="757"/>
      <c r="E68" s="758"/>
      <c r="F68" s="759"/>
      <c r="G68" s="797">
        <f>IF(COMANDOBLOQUEADO!$U$6="1º TRIMESTRE",SUM(ADICIONAIS!E36:E41),IF(COMANDOBLOQUEADO!$U$6="2º TRIMESTRE",SUM(ADICIONAIS!F36:F41),IF(COMANDOBLOQUEADO!$U$6="3º TRIMESTRE",SUM(ADICIONAIS!G36:G41),SUM(ADICIONAIS!H36:H41))))</f>
        <v>53648.130000000005</v>
      </c>
      <c r="H68" s="798"/>
      <c r="I68" s="120"/>
    </row>
    <row r="69" spans="2:9" ht="15" customHeight="1">
      <c r="B69" s="196" t="s">
        <v>1256</v>
      </c>
      <c r="C69" s="757" t="s">
        <v>634</v>
      </c>
      <c r="D69" s="757"/>
      <c r="E69" s="758"/>
      <c r="F69" s="759"/>
      <c r="G69" s="799">
        <f>GLOSAS!I33</f>
        <v>144370.12</v>
      </c>
      <c r="H69" s="800"/>
      <c r="I69" s="143"/>
    </row>
    <row r="70" spans="2:9" ht="15" customHeight="1" thickBot="1">
      <c r="B70" s="426" t="s">
        <v>1256</v>
      </c>
      <c r="C70" s="792" t="s">
        <v>635</v>
      </c>
      <c r="D70" s="792"/>
      <c r="E70" s="793"/>
      <c r="F70" s="794"/>
      <c r="G70" s="795">
        <v>0</v>
      </c>
      <c r="H70" s="796"/>
      <c r="I70" s="143"/>
    </row>
    <row r="71" spans="2:9" ht="15" customHeight="1" thickBot="1">
      <c r="B71" s="658" t="s">
        <v>736</v>
      </c>
      <c r="C71" s="752"/>
      <c r="D71" s="752"/>
      <c r="E71" s="753"/>
      <c r="F71" s="754"/>
      <c r="G71" s="755">
        <f>G66+G67+G68-G69-G70</f>
        <v>1186503.1999999997</v>
      </c>
      <c r="H71" s="756"/>
      <c r="I71" s="143"/>
    </row>
    <row r="72" spans="2:8" ht="12.75" customHeight="1" thickBot="1">
      <c r="B72" s="161"/>
      <c r="C72" s="161"/>
      <c r="D72" s="161"/>
      <c r="E72" s="161"/>
      <c r="F72" s="161"/>
      <c r="G72" s="791"/>
      <c r="H72" s="774"/>
    </row>
    <row r="73" spans="1:9" ht="15" customHeight="1">
      <c r="A73" s="122"/>
      <c r="B73" s="782" t="s">
        <v>166</v>
      </c>
      <c r="C73" s="783"/>
      <c r="D73" s="783"/>
      <c r="E73" s="784"/>
      <c r="F73" s="784"/>
      <c r="G73" s="728" t="s">
        <v>1107</v>
      </c>
      <c r="H73" s="788"/>
      <c r="I73" s="120"/>
    </row>
    <row r="74" spans="1:9" ht="13.5" customHeight="1" thickBot="1">
      <c r="A74" s="122"/>
      <c r="B74" s="785"/>
      <c r="C74" s="786"/>
      <c r="D74" s="786"/>
      <c r="E74" s="787"/>
      <c r="F74" s="787"/>
      <c r="G74" s="789" t="s">
        <v>192</v>
      </c>
      <c r="H74" s="790"/>
      <c r="I74" s="120"/>
    </row>
    <row r="75" spans="1:9" ht="15" customHeight="1">
      <c r="A75" s="122"/>
      <c r="B75" s="654" t="s">
        <v>630</v>
      </c>
      <c r="C75" s="773"/>
      <c r="D75" s="773"/>
      <c r="E75" s="774"/>
      <c r="F75" s="774"/>
      <c r="G75" s="775">
        <v>0</v>
      </c>
      <c r="H75" s="776"/>
      <c r="I75" s="120"/>
    </row>
    <row r="76" spans="1:9" ht="15" customHeight="1" thickBot="1">
      <c r="A76" s="122"/>
      <c r="B76" s="196" t="s">
        <v>1256</v>
      </c>
      <c r="C76" s="757" t="s">
        <v>639</v>
      </c>
      <c r="D76" s="757"/>
      <c r="E76" s="758"/>
      <c r="F76" s="759"/>
      <c r="G76" s="780">
        <v>0</v>
      </c>
      <c r="H76" s="781"/>
      <c r="I76" s="120"/>
    </row>
    <row r="77" spans="1:9" ht="15" customHeight="1" thickBot="1">
      <c r="A77" s="122"/>
      <c r="B77" s="198" t="s">
        <v>1272</v>
      </c>
      <c r="C77" s="777" t="s">
        <v>765</v>
      </c>
      <c r="D77" s="777"/>
      <c r="E77" s="753"/>
      <c r="F77" s="754"/>
      <c r="G77" s="778">
        <f>G75-G76</f>
        <v>0</v>
      </c>
      <c r="H77" s="779"/>
      <c r="I77" s="120"/>
    </row>
    <row r="78" spans="1:9" ht="15" customHeight="1">
      <c r="A78" s="122"/>
      <c r="B78" s="196" t="s">
        <v>1255</v>
      </c>
      <c r="C78" s="763" t="s">
        <v>632</v>
      </c>
      <c r="D78" s="763"/>
      <c r="E78" s="764"/>
      <c r="F78" s="765"/>
      <c r="G78" s="766">
        <v>0</v>
      </c>
      <c r="H78" s="767"/>
      <c r="I78" s="120"/>
    </row>
    <row r="79" spans="2:9" ht="15" customHeight="1" thickBot="1">
      <c r="B79" s="517" t="s">
        <v>1256</v>
      </c>
      <c r="C79" s="768" t="s">
        <v>21</v>
      </c>
      <c r="D79" s="768"/>
      <c r="E79" s="769"/>
      <c r="F79" s="770"/>
      <c r="G79" s="771">
        <f>FUNDEF!I54</f>
        <v>0</v>
      </c>
      <c r="H79" s="772"/>
      <c r="I79" s="143"/>
    </row>
    <row r="80" spans="2:9" ht="15" customHeight="1" thickBot="1">
      <c r="B80" s="658" t="s">
        <v>736</v>
      </c>
      <c r="C80" s="752"/>
      <c r="D80" s="752"/>
      <c r="E80" s="753"/>
      <c r="F80" s="754"/>
      <c r="G80" s="755">
        <f>G77+G78-G79</f>
        <v>0</v>
      </c>
      <c r="H80" s="756"/>
      <c r="I80" s="143"/>
    </row>
  </sheetData>
  <sheetProtection password="DEF0" sheet="1" objects="1" scenarios="1"/>
  <mergeCells count="144">
    <mergeCell ref="B31:F31"/>
    <mergeCell ref="C36:F36"/>
    <mergeCell ref="C33:F33"/>
    <mergeCell ref="C26:F26"/>
    <mergeCell ref="B27:F27"/>
    <mergeCell ref="G15:H15"/>
    <mergeCell ref="C15:F15"/>
    <mergeCell ref="C22:F22"/>
    <mergeCell ref="C23:F23"/>
    <mergeCell ref="G16:H16"/>
    <mergeCell ref="G17:H17"/>
    <mergeCell ref="C16:F16"/>
    <mergeCell ref="B17:F17"/>
    <mergeCell ref="B19:F20"/>
    <mergeCell ref="B21:F21"/>
    <mergeCell ref="C69:F69"/>
    <mergeCell ref="C61:D61"/>
    <mergeCell ref="C50:D50"/>
    <mergeCell ref="B51:F52"/>
    <mergeCell ref="C55:F55"/>
    <mergeCell ref="B64:F64"/>
    <mergeCell ref="C65:F65"/>
    <mergeCell ref="B62:F63"/>
    <mergeCell ref="B2:C3"/>
    <mergeCell ref="C5:H5"/>
    <mergeCell ref="G19:H19"/>
    <mergeCell ref="G20:H20"/>
    <mergeCell ref="G13:H13"/>
    <mergeCell ref="H2:H3"/>
    <mergeCell ref="G2:G3"/>
    <mergeCell ref="D2:E3"/>
    <mergeCell ref="F2:F3"/>
    <mergeCell ref="G14:H14"/>
    <mergeCell ref="G37:H37"/>
    <mergeCell ref="G50:H50"/>
    <mergeCell ref="G45:H45"/>
    <mergeCell ref="G46:H46"/>
    <mergeCell ref="G47:H47"/>
    <mergeCell ref="G42:H42"/>
    <mergeCell ref="G48:H48"/>
    <mergeCell ref="G36:H36"/>
    <mergeCell ref="G33:H33"/>
    <mergeCell ref="G34:H34"/>
    <mergeCell ref="G32:H32"/>
    <mergeCell ref="G21:H21"/>
    <mergeCell ref="G22:H22"/>
    <mergeCell ref="G23:H23"/>
    <mergeCell ref="G24:H24"/>
    <mergeCell ref="G63:H63"/>
    <mergeCell ref="G64:H64"/>
    <mergeCell ref="G25:H25"/>
    <mergeCell ref="G30:H30"/>
    <mergeCell ref="G31:H31"/>
    <mergeCell ref="G26:H26"/>
    <mergeCell ref="G27:H27"/>
    <mergeCell ref="G28:H28"/>
    <mergeCell ref="G29:H29"/>
    <mergeCell ref="G35:H35"/>
    <mergeCell ref="B7:F8"/>
    <mergeCell ref="B9:F9"/>
    <mergeCell ref="C10:F10"/>
    <mergeCell ref="G18:H18"/>
    <mergeCell ref="G7:H7"/>
    <mergeCell ref="G8:H8"/>
    <mergeCell ref="G9:H9"/>
    <mergeCell ref="G11:H11"/>
    <mergeCell ref="G12:H12"/>
    <mergeCell ref="G10:H10"/>
    <mergeCell ref="B42:F42"/>
    <mergeCell ref="C11:F11"/>
    <mergeCell ref="C12:F12"/>
    <mergeCell ref="C13:F13"/>
    <mergeCell ref="C14:F14"/>
    <mergeCell ref="C24:F24"/>
    <mergeCell ref="C39:D39"/>
    <mergeCell ref="C37:F37"/>
    <mergeCell ref="C32:F32"/>
    <mergeCell ref="B29:F30"/>
    <mergeCell ref="B38:F38"/>
    <mergeCell ref="G38:H38"/>
    <mergeCell ref="B40:F41"/>
    <mergeCell ref="G40:H40"/>
    <mergeCell ref="G41:H41"/>
    <mergeCell ref="G39:H39"/>
    <mergeCell ref="G51:H51"/>
    <mergeCell ref="G52:H52"/>
    <mergeCell ref="B53:F53"/>
    <mergeCell ref="G53:H53"/>
    <mergeCell ref="B49:F49"/>
    <mergeCell ref="G49:H49"/>
    <mergeCell ref="C43:F43"/>
    <mergeCell ref="G43:H43"/>
    <mergeCell ref="G44:H44"/>
    <mergeCell ref="C44:F44"/>
    <mergeCell ref="C48:F48"/>
    <mergeCell ref="G55:H55"/>
    <mergeCell ref="G56:H56"/>
    <mergeCell ref="C54:F54"/>
    <mergeCell ref="G54:H54"/>
    <mergeCell ref="C56:F56"/>
    <mergeCell ref="G60:H60"/>
    <mergeCell ref="C57:F57"/>
    <mergeCell ref="B60:F60"/>
    <mergeCell ref="G62:H62"/>
    <mergeCell ref="G57:H57"/>
    <mergeCell ref="C58:F58"/>
    <mergeCell ref="G58:H58"/>
    <mergeCell ref="C59:F59"/>
    <mergeCell ref="G59:H59"/>
    <mergeCell ref="G61:H61"/>
    <mergeCell ref="C70:F70"/>
    <mergeCell ref="G70:H70"/>
    <mergeCell ref="G67:H67"/>
    <mergeCell ref="G65:H65"/>
    <mergeCell ref="C66:F66"/>
    <mergeCell ref="C67:F67"/>
    <mergeCell ref="G68:H68"/>
    <mergeCell ref="G69:H69"/>
    <mergeCell ref="G66:H66"/>
    <mergeCell ref="C68:F68"/>
    <mergeCell ref="B71:F71"/>
    <mergeCell ref="G71:H71"/>
    <mergeCell ref="B73:F74"/>
    <mergeCell ref="G73:H73"/>
    <mergeCell ref="G74:H74"/>
    <mergeCell ref="G72:H72"/>
    <mergeCell ref="C79:F79"/>
    <mergeCell ref="G79:H79"/>
    <mergeCell ref="B75:F75"/>
    <mergeCell ref="G75:H75"/>
    <mergeCell ref="C77:F77"/>
    <mergeCell ref="G77:H77"/>
    <mergeCell ref="C76:F76"/>
    <mergeCell ref="G76:H76"/>
    <mergeCell ref="B80:F80"/>
    <mergeCell ref="G80:H80"/>
    <mergeCell ref="C25:F25"/>
    <mergeCell ref="C34:F34"/>
    <mergeCell ref="C35:F35"/>
    <mergeCell ref="C45:F45"/>
    <mergeCell ref="C46:F46"/>
    <mergeCell ref="C47:F47"/>
    <mergeCell ref="C78:F78"/>
    <mergeCell ref="G78:H78"/>
  </mergeCells>
  <printOptions/>
  <pageMargins left="1.1023622047244095" right="0.1968503937007874" top="0.6299212598425197" bottom="0.65" header="0.3937007874015748" footer="0.28"/>
  <pageSetup horizontalDpi="180" verticalDpi="180" orientation="portrait" paperSize="9" scale="64" r:id="rId2"/>
  <headerFooter alignWithMargins="0">
    <oddHeader>&amp;R
</oddHeader>
  </headerFooter>
  <legacyDrawing r:id="rId1"/>
</worksheet>
</file>

<file path=xl/worksheets/sheet16.xml><?xml version="1.0" encoding="utf-8"?>
<worksheet xmlns="http://schemas.openxmlformats.org/spreadsheetml/2006/main" xmlns:r="http://schemas.openxmlformats.org/officeDocument/2006/relationships">
  <sheetPr codeName="Plan23"/>
  <dimension ref="A2:J63"/>
  <sheetViews>
    <sheetView showGridLines="0" showRowColHeaders="0" zoomScale="75" zoomScaleNormal="75" zoomScalePageLayoutView="0" workbookViewId="0" topLeftCell="B1">
      <selection activeCell="H47" sqref="H47"/>
    </sheetView>
  </sheetViews>
  <sheetFormatPr defaultColWidth="0" defaultRowHeight="12.75"/>
  <cols>
    <col min="1" max="1" width="1.1484375" style="58" hidden="1" customWidth="1"/>
    <col min="2" max="2" width="1.1484375" style="58" customWidth="1"/>
    <col min="3" max="3" width="2.421875" style="58" customWidth="1"/>
    <col min="4" max="4" width="25.00390625" style="58" customWidth="1"/>
    <col min="5" max="5" width="38.7109375" style="58" customWidth="1"/>
    <col min="6" max="6" width="9.8515625" style="58" customWidth="1"/>
    <col min="7" max="7" width="6.7109375" style="58" customWidth="1"/>
    <col min="8" max="8" width="5.7109375" style="58" customWidth="1"/>
    <col min="9" max="10" width="26.7109375" style="58" customWidth="1"/>
    <col min="11" max="11" width="3.28125" style="58" customWidth="1"/>
    <col min="12" max="16384" width="0" style="58" hidden="1" customWidth="1"/>
  </cols>
  <sheetData>
    <row r="2" spans="3:10" ht="12.75">
      <c r="C2" s="835" t="s">
        <v>1145</v>
      </c>
      <c r="D2" s="835"/>
      <c r="E2" s="199" t="str">
        <f>COMANDOBLOQUEADO!S19</f>
        <v>CESÁRIO LANGE</v>
      </c>
      <c r="F2" s="199"/>
      <c r="G2" s="835" t="s">
        <v>268</v>
      </c>
      <c r="H2" s="836"/>
      <c r="I2" s="199" t="str">
        <f>COMANDOBLOQUEADO!U6</f>
        <v>4º TRIMESTRE</v>
      </c>
      <c r="J2" s="199" t="str">
        <f>COMANDOBLOQUEADO!Y6</f>
        <v>2009</v>
      </c>
    </row>
    <row r="3" spans="3:10" ht="15.75">
      <c r="C3" s="143"/>
      <c r="D3" s="143"/>
      <c r="E3" s="143"/>
      <c r="F3" s="143"/>
      <c r="G3" s="143"/>
      <c r="H3" s="143"/>
      <c r="I3" s="143"/>
      <c r="J3" s="143"/>
    </row>
    <row r="4" spans="3:10" ht="19.5" customHeight="1">
      <c r="C4" s="741"/>
      <c r="D4" s="741"/>
      <c r="E4" s="837"/>
      <c r="F4" s="837"/>
      <c r="G4" s="837"/>
      <c r="H4" s="837"/>
      <c r="I4" s="837"/>
      <c r="J4" s="837"/>
    </row>
    <row r="5" spans="3:10" ht="18">
      <c r="C5" s="741" t="s">
        <v>117</v>
      </c>
      <c r="D5" s="741"/>
      <c r="E5" s="837"/>
      <c r="F5" s="837"/>
      <c r="G5" s="837"/>
      <c r="H5" s="837"/>
      <c r="I5" s="837"/>
      <c r="J5" s="837"/>
    </row>
    <row r="6" spans="3:10" ht="15.75" thickBot="1">
      <c r="C6" s="52"/>
      <c r="D6" s="52"/>
      <c r="E6" s="64"/>
      <c r="F6" s="64"/>
      <c r="G6" s="64"/>
      <c r="H6" s="153"/>
      <c r="I6" s="153"/>
      <c r="J6" s="153"/>
    </row>
    <row r="7" spans="3:10" ht="19.5" customHeight="1" thickBot="1">
      <c r="C7" s="821" t="s">
        <v>1126</v>
      </c>
      <c r="D7" s="822"/>
      <c r="E7" s="823"/>
      <c r="F7" s="823"/>
      <c r="G7" s="823"/>
      <c r="H7" s="823"/>
      <c r="I7" s="823"/>
      <c r="J7" s="824"/>
    </row>
    <row r="8" spans="3:10" ht="19.5" customHeight="1" thickBot="1">
      <c r="C8" s="833" t="s">
        <v>118</v>
      </c>
      <c r="D8" s="834"/>
      <c r="E8" s="834"/>
      <c r="F8" s="213" t="str">
        <f>IF(COMANDOBLOQUEADO!$U$6="1º TRIMESTRE","31 / 03 /",IF(COMANDOBLOQUEADO!$U$6="2º TRIMESTRE","30 / 06 /",IF(COMANDOBLOQUEADO!$U$6="3º TRIMESTRE","30 / 09 /",IF(COMANDOBLOQUEADO!$U$6="4º TRIMESTRE","31 / 12 /"))))</f>
        <v>31 / 12 /</v>
      </c>
      <c r="G8" s="214" t="str">
        <f>IF(COMANDOBLOQUEADO!$U$6="1º TRIMESTRE",COMANDOBLOQUEADO!$Y$6,IF(COMANDOBLOQUEADO!$U$6="2º TRIMESTRE",COMANDOBLOQUEADO!$Y$6,IF(COMANDOBLOQUEADO!$U$6="3º TRIMESTRE",COMANDOBLOQUEADO!$Y$6,IF(COMANDOBLOQUEADO!$U$6="4º TRIMESTRE",COMANDOBLOQUEADO!$Y$6))))</f>
        <v>2009</v>
      </c>
      <c r="H8" s="204"/>
      <c r="I8" s="492" t="s">
        <v>56</v>
      </c>
      <c r="J8" s="491" t="s">
        <v>54</v>
      </c>
    </row>
    <row r="9" spans="3:10" ht="18" customHeight="1" thickBot="1">
      <c r="C9" s="671" t="s">
        <v>1103</v>
      </c>
      <c r="D9" s="825"/>
      <c r="E9" s="826" t="s">
        <v>53</v>
      </c>
      <c r="F9" s="827"/>
      <c r="G9" s="827"/>
      <c r="H9" s="827"/>
      <c r="I9" s="493" t="s">
        <v>57</v>
      </c>
      <c r="J9" s="494" t="s">
        <v>55</v>
      </c>
    </row>
    <row r="10" spans="3:10" ht="18" customHeight="1">
      <c r="C10" s="812" t="s">
        <v>699</v>
      </c>
      <c r="D10" s="813"/>
      <c r="E10" s="828" t="s">
        <v>700</v>
      </c>
      <c r="F10" s="828"/>
      <c r="G10" s="828"/>
      <c r="H10" s="813"/>
      <c r="I10" s="243">
        <v>2432.27</v>
      </c>
      <c r="J10" s="244">
        <v>2432.27</v>
      </c>
    </row>
    <row r="11" spans="3:10" ht="18" customHeight="1">
      <c r="C11" s="812"/>
      <c r="D11" s="813"/>
      <c r="E11" s="828"/>
      <c r="F11" s="828"/>
      <c r="G11" s="828"/>
      <c r="H11" s="813"/>
      <c r="I11" s="243"/>
      <c r="J11" s="244" t="s">
        <v>1141</v>
      </c>
    </row>
    <row r="12" spans="3:10" ht="18" customHeight="1">
      <c r="C12" s="812"/>
      <c r="D12" s="813"/>
      <c r="E12" s="828"/>
      <c r="F12" s="828"/>
      <c r="G12" s="828"/>
      <c r="H12" s="813"/>
      <c r="I12" s="243"/>
      <c r="J12" s="244"/>
    </row>
    <row r="13" spans="3:10" ht="18" customHeight="1">
      <c r="C13" s="812"/>
      <c r="D13" s="813"/>
      <c r="E13" s="828"/>
      <c r="F13" s="828"/>
      <c r="G13" s="828"/>
      <c r="H13" s="813"/>
      <c r="I13" s="243"/>
      <c r="J13" s="244"/>
    </row>
    <row r="14" spans="3:10" ht="18" customHeight="1">
      <c r="C14" s="812"/>
      <c r="D14" s="813"/>
      <c r="E14" s="828"/>
      <c r="F14" s="828"/>
      <c r="G14" s="828"/>
      <c r="H14" s="813"/>
      <c r="I14" s="243"/>
      <c r="J14" s="244"/>
    </row>
    <row r="15" spans="3:10" ht="18" customHeight="1">
      <c r="C15" s="812"/>
      <c r="D15" s="813"/>
      <c r="E15" s="828"/>
      <c r="F15" s="828"/>
      <c r="G15" s="828"/>
      <c r="H15" s="813"/>
      <c r="I15" s="243"/>
      <c r="J15" s="244"/>
    </row>
    <row r="16" spans="3:10" ht="18" customHeight="1">
      <c r="C16" s="812"/>
      <c r="D16" s="813"/>
      <c r="E16" s="828"/>
      <c r="F16" s="828"/>
      <c r="G16" s="828"/>
      <c r="H16" s="813"/>
      <c r="I16" s="243"/>
      <c r="J16" s="244"/>
    </row>
    <row r="17" spans="3:10" ht="18" customHeight="1" thickBot="1">
      <c r="C17" s="816"/>
      <c r="D17" s="817"/>
      <c r="E17" s="828"/>
      <c r="F17" s="828"/>
      <c r="G17" s="828"/>
      <c r="H17" s="813"/>
      <c r="I17" s="287"/>
      <c r="J17" s="288"/>
    </row>
    <row r="18" spans="3:10" ht="18" customHeight="1" thickBot="1">
      <c r="C18" s="191"/>
      <c r="D18" s="818" t="s">
        <v>59</v>
      </c>
      <c r="E18" s="819"/>
      <c r="F18" s="819"/>
      <c r="G18" s="819"/>
      <c r="H18" s="820"/>
      <c r="I18" s="139">
        <f>SUM(I10:I17)</f>
        <v>2432.27</v>
      </c>
      <c r="J18" s="139">
        <f>SUM(J10:J17)</f>
        <v>2432.27</v>
      </c>
    </row>
    <row r="19" spans="3:10" ht="15" customHeight="1">
      <c r="C19" s="52"/>
      <c r="D19" s="54"/>
      <c r="E19" s="242"/>
      <c r="F19" s="242"/>
      <c r="G19" s="242"/>
      <c r="H19" s="242"/>
      <c r="I19" s="153"/>
      <c r="J19" s="153"/>
    </row>
    <row r="20" spans="3:10" ht="15" customHeight="1" thickBot="1">
      <c r="C20" s="52"/>
      <c r="D20" s="52"/>
      <c r="E20" s="52"/>
      <c r="F20" s="52"/>
      <c r="G20" s="210"/>
      <c r="H20" s="210"/>
      <c r="I20" s="142"/>
      <c r="J20" s="153"/>
    </row>
    <row r="21" spans="1:10" ht="19.5" customHeight="1" thickBot="1">
      <c r="A21" s="207"/>
      <c r="B21" s="161"/>
      <c r="C21" s="782" t="s">
        <v>224</v>
      </c>
      <c r="D21" s="830"/>
      <c r="E21" s="831"/>
      <c r="F21" s="831"/>
      <c r="G21" s="831"/>
      <c r="H21" s="831"/>
      <c r="I21" s="831"/>
      <c r="J21" s="832"/>
    </row>
    <row r="22" spans="3:10" ht="19.5" customHeight="1" thickBot="1">
      <c r="C22" s="838" t="s">
        <v>118</v>
      </c>
      <c r="D22" s="839"/>
      <c r="E22" s="839"/>
      <c r="F22" s="213" t="str">
        <f>IF(COMANDOBLOQUEADO!$U$6="1º TRIMESTRE","31 / 03 /",IF(COMANDOBLOQUEADO!$U$6="2º TRIMESTRE","30 / 06 /",IF(COMANDOBLOQUEADO!$U$6="3º TRIMESTRE","30 / 09 /",IF(COMANDOBLOQUEADO!$U$6="4º TRIMESTRE","31 / 12 /"))))</f>
        <v>31 / 12 /</v>
      </c>
      <c r="G22" s="214" t="str">
        <f>IF(COMANDOBLOQUEADO!U6="1º TRIMESTRE",COMANDOBLOQUEADO!Y6,IF(COMANDOBLOQUEADO!U6="2º TRIMESTRE",COMANDOBLOQUEADO!Y6,IF(COMANDOBLOQUEADO!U6="3º TRIMESTRE",COMANDOBLOQUEADO!Y6,IF(COMANDOBLOQUEADO!U6="4º TRIMESTRE",COMANDOBLOQUEADO!Y6))))</f>
        <v>2009</v>
      </c>
      <c r="H22" s="204"/>
      <c r="I22" s="492" t="s">
        <v>56</v>
      </c>
      <c r="J22" s="491" t="s">
        <v>54</v>
      </c>
    </row>
    <row r="23" spans="3:10" ht="18" customHeight="1" thickBot="1">
      <c r="C23" s="671" t="s">
        <v>1103</v>
      </c>
      <c r="D23" s="825"/>
      <c r="E23" s="826" t="s">
        <v>53</v>
      </c>
      <c r="F23" s="827"/>
      <c r="G23" s="827"/>
      <c r="H23" s="827"/>
      <c r="I23" s="493" t="s">
        <v>57</v>
      </c>
      <c r="J23" s="494" t="s">
        <v>55</v>
      </c>
    </row>
    <row r="24" spans="3:10" ht="18" customHeight="1">
      <c r="C24" s="814" t="s">
        <v>701</v>
      </c>
      <c r="D24" s="815"/>
      <c r="E24" s="829" t="s">
        <v>704</v>
      </c>
      <c r="F24" s="828"/>
      <c r="G24" s="828"/>
      <c r="H24" s="813"/>
      <c r="I24" s="243">
        <v>0</v>
      </c>
      <c r="J24" s="244">
        <v>0</v>
      </c>
    </row>
    <row r="25" spans="3:10" ht="18" customHeight="1">
      <c r="C25" s="812" t="s">
        <v>702</v>
      </c>
      <c r="D25" s="813"/>
      <c r="E25" s="828" t="s">
        <v>710</v>
      </c>
      <c r="F25" s="828"/>
      <c r="G25" s="828"/>
      <c r="H25" s="813"/>
      <c r="I25" s="243">
        <v>278.27</v>
      </c>
      <c r="J25" s="244">
        <v>278.27</v>
      </c>
    </row>
    <row r="26" spans="3:10" ht="18" customHeight="1">
      <c r="C26" s="812" t="s">
        <v>703</v>
      </c>
      <c r="D26" s="813"/>
      <c r="E26" s="828" t="s">
        <v>709</v>
      </c>
      <c r="F26" s="828"/>
      <c r="G26" s="828"/>
      <c r="H26" s="813"/>
      <c r="I26" s="243">
        <v>323687.56</v>
      </c>
      <c r="J26" s="244">
        <v>323687.56</v>
      </c>
    </row>
    <row r="27" spans="3:10" ht="18" customHeight="1">
      <c r="C27" s="812" t="s">
        <v>749</v>
      </c>
      <c r="D27" s="813"/>
      <c r="E27" s="828" t="s">
        <v>750</v>
      </c>
      <c r="F27" s="828"/>
      <c r="G27" s="828"/>
      <c r="H27" s="813"/>
      <c r="I27" s="243">
        <v>0</v>
      </c>
      <c r="J27" s="244">
        <v>0</v>
      </c>
    </row>
    <row r="28" spans="3:10" ht="18" customHeight="1">
      <c r="C28" s="812"/>
      <c r="D28" s="813"/>
      <c r="E28" s="828"/>
      <c r="F28" s="828"/>
      <c r="G28" s="828"/>
      <c r="H28" s="813"/>
      <c r="I28" s="243">
        <v>0</v>
      </c>
      <c r="J28" s="244">
        <v>0</v>
      </c>
    </row>
    <row r="29" spans="3:10" ht="18" customHeight="1">
      <c r="C29" s="812"/>
      <c r="D29" s="813"/>
      <c r="E29" s="828"/>
      <c r="F29" s="828"/>
      <c r="G29" s="828"/>
      <c r="H29" s="813"/>
      <c r="I29" s="243">
        <v>0</v>
      </c>
      <c r="J29" s="244">
        <v>0</v>
      </c>
    </row>
    <row r="30" spans="3:10" ht="18" customHeight="1">
      <c r="C30" s="812"/>
      <c r="D30" s="813"/>
      <c r="E30" s="828"/>
      <c r="F30" s="828"/>
      <c r="G30" s="828"/>
      <c r="H30" s="813"/>
      <c r="I30" s="243">
        <v>0</v>
      </c>
      <c r="J30" s="244">
        <v>0</v>
      </c>
    </row>
    <row r="31" spans="3:10" ht="18" customHeight="1" thickBot="1">
      <c r="C31" s="812"/>
      <c r="D31" s="813"/>
      <c r="E31" s="829"/>
      <c r="F31" s="828"/>
      <c r="G31" s="828"/>
      <c r="H31" s="813"/>
      <c r="I31" s="243"/>
      <c r="J31" s="244"/>
    </row>
    <row r="32" spans="3:10" ht="18" customHeight="1" thickBot="1">
      <c r="C32" s="191"/>
      <c r="D32" s="818" t="s">
        <v>59</v>
      </c>
      <c r="E32" s="819"/>
      <c r="F32" s="819"/>
      <c r="G32" s="819"/>
      <c r="H32" s="820"/>
      <c r="I32" s="139">
        <f>SUM(I24:I31)</f>
        <v>323965.83</v>
      </c>
      <c r="J32" s="139">
        <f>SUM(J24:J31)</f>
        <v>323965.83</v>
      </c>
    </row>
    <row r="33" spans="3:10" ht="15" customHeight="1" thickBot="1">
      <c r="C33" s="52"/>
      <c r="D33" s="54"/>
      <c r="E33" s="242"/>
      <c r="F33" s="242"/>
      <c r="G33" s="242"/>
      <c r="H33" s="242"/>
      <c r="I33" s="153"/>
      <c r="J33" s="153"/>
    </row>
    <row r="34" spans="1:2" ht="15" customHeight="1" thickBot="1">
      <c r="A34" s="207"/>
      <c r="B34" s="161"/>
    </row>
    <row r="35" spans="3:10" ht="19.5" customHeight="1" thickBot="1">
      <c r="C35" s="821" t="s">
        <v>58</v>
      </c>
      <c r="D35" s="822"/>
      <c r="E35" s="823"/>
      <c r="F35" s="823"/>
      <c r="G35" s="823"/>
      <c r="H35" s="823"/>
      <c r="I35" s="823"/>
      <c r="J35" s="824"/>
    </row>
    <row r="36" spans="3:10" ht="19.5" customHeight="1" thickBot="1">
      <c r="C36" s="833" t="s">
        <v>118</v>
      </c>
      <c r="D36" s="834"/>
      <c r="E36" s="834"/>
      <c r="F36" s="213" t="str">
        <f>IF(COMANDOBLOQUEADO!$U$6="1º TRIMESTRE","31 / 03 /",IF(COMANDOBLOQUEADO!$U$6="2º TRIMESTRE","30 / 06 /",IF(COMANDOBLOQUEADO!$U$6="3º TRIMESTRE","30 / 09 /",IF(COMANDOBLOQUEADO!$U$6="4º TRIMESTRE","31 / 12 /"))))</f>
        <v>31 / 12 /</v>
      </c>
      <c r="G36" s="214" t="str">
        <f>IF(COMANDOBLOQUEADO!$U$6="1º TRIMESTRE",COMANDOBLOQUEADO!$Y$6,IF(COMANDOBLOQUEADO!$U$6="2º TRIMESTRE",COMANDOBLOQUEADO!$Y$6,IF(COMANDOBLOQUEADO!$U$6="3º TRIMESTRE",COMANDOBLOQUEADO!$Y$6,IF(COMANDOBLOQUEADO!$U$6="4º TRIMESTRE",COMANDOBLOQUEADO!$Y$6))))</f>
        <v>2009</v>
      </c>
      <c r="H36" s="204"/>
      <c r="I36" s="492" t="s">
        <v>56</v>
      </c>
      <c r="J36" s="491" t="s">
        <v>54</v>
      </c>
    </row>
    <row r="37" spans="3:10" ht="18" customHeight="1" thickBot="1">
      <c r="C37" s="671" t="s">
        <v>1103</v>
      </c>
      <c r="D37" s="825"/>
      <c r="E37" s="826" t="s">
        <v>53</v>
      </c>
      <c r="F37" s="827"/>
      <c r="G37" s="827"/>
      <c r="H37" s="827"/>
      <c r="I37" s="493" t="s">
        <v>57</v>
      </c>
      <c r="J37" s="494" t="s">
        <v>55</v>
      </c>
    </row>
    <row r="38" spans="3:10" ht="18" customHeight="1">
      <c r="C38" s="814" t="s">
        <v>711</v>
      </c>
      <c r="D38" s="815"/>
      <c r="E38" s="828" t="s">
        <v>708</v>
      </c>
      <c r="F38" s="828"/>
      <c r="G38" s="828"/>
      <c r="H38" s="813"/>
      <c r="I38" s="243">
        <v>101491.07</v>
      </c>
      <c r="J38" s="244">
        <v>101491.07</v>
      </c>
    </row>
    <row r="39" spans="3:10" ht="18" customHeight="1">
      <c r="C39" s="812" t="s">
        <v>1044</v>
      </c>
      <c r="D39" s="813"/>
      <c r="E39" s="828" t="s">
        <v>1045</v>
      </c>
      <c r="F39" s="828"/>
      <c r="G39" s="828"/>
      <c r="H39" s="813"/>
      <c r="I39" s="243">
        <v>0</v>
      </c>
      <c r="J39" s="244">
        <v>0</v>
      </c>
    </row>
    <row r="40" spans="3:10" ht="18" customHeight="1">
      <c r="C40" s="812" t="s">
        <v>712</v>
      </c>
      <c r="D40" s="813"/>
      <c r="E40" s="828" t="s">
        <v>705</v>
      </c>
      <c r="F40" s="828"/>
      <c r="G40" s="828"/>
      <c r="H40" s="813"/>
      <c r="I40" s="243">
        <v>9996.88</v>
      </c>
      <c r="J40" s="244">
        <v>9996.88</v>
      </c>
    </row>
    <row r="41" spans="3:10" ht="18" customHeight="1">
      <c r="C41" s="812" t="s">
        <v>713</v>
      </c>
      <c r="D41" s="813"/>
      <c r="E41" s="828" t="s">
        <v>706</v>
      </c>
      <c r="F41" s="828"/>
      <c r="G41" s="828"/>
      <c r="H41" s="813"/>
      <c r="I41" s="243">
        <v>0</v>
      </c>
      <c r="J41" s="244">
        <v>0</v>
      </c>
    </row>
    <row r="42" spans="3:10" ht="18" customHeight="1">
      <c r="C42" s="812"/>
      <c r="D42" s="813"/>
      <c r="E42" s="828"/>
      <c r="F42" s="828"/>
      <c r="G42" s="828"/>
      <c r="H42" s="813"/>
      <c r="I42" s="243">
        <v>0</v>
      </c>
      <c r="J42" s="244">
        <v>0</v>
      </c>
    </row>
    <row r="43" spans="3:10" ht="18" customHeight="1">
      <c r="C43" s="812" t="s">
        <v>714</v>
      </c>
      <c r="D43" s="813"/>
      <c r="E43" s="828" t="s">
        <v>707</v>
      </c>
      <c r="F43" s="828"/>
      <c r="G43" s="828"/>
      <c r="H43" s="813"/>
      <c r="I43" s="243">
        <v>0</v>
      </c>
      <c r="J43" s="244">
        <v>0</v>
      </c>
    </row>
    <row r="44" spans="3:10" ht="18" customHeight="1">
      <c r="C44" s="812"/>
      <c r="D44" s="813"/>
      <c r="E44" s="828"/>
      <c r="F44" s="828"/>
      <c r="G44" s="828"/>
      <c r="H44" s="813"/>
      <c r="I44" s="243">
        <v>0</v>
      </c>
      <c r="J44" s="244">
        <v>0</v>
      </c>
    </row>
    <row r="45" spans="3:10" ht="18" customHeight="1">
      <c r="C45" s="812" t="s">
        <v>881</v>
      </c>
      <c r="D45" s="813"/>
      <c r="E45" s="828" t="s">
        <v>880</v>
      </c>
      <c r="F45" s="828"/>
      <c r="G45" s="828"/>
      <c r="H45" s="813"/>
      <c r="I45" s="243">
        <v>717248.97</v>
      </c>
      <c r="J45" s="244">
        <v>717248.97</v>
      </c>
    </row>
    <row r="46" spans="3:10" ht="18" customHeight="1">
      <c r="C46" s="812"/>
      <c r="D46" s="813"/>
      <c r="E46" s="828"/>
      <c r="F46" s="828"/>
      <c r="G46" s="828"/>
      <c r="H46" s="813"/>
      <c r="I46" s="243"/>
      <c r="J46" s="244"/>
    </row>
    <row r="47" spans="3:10" ht="18" customHeight="1">
      <c r="C47" s="812"/>
      <c r="D47" s="813"/>
      <c r="E47" s="828"/>
      <c r="F47" s="828"/>
      <c r="G47" s="828"/>
      <c r="H47" s="813"/>
      <c r="I47" s="243"/>
      <c r="J47" s="244"/>
    </row>
    <row r="48" spans="3:10" ht="18" customHeight="1">
      <c r="C48" s="812"/>
      <c r="D48" s="813"/>
      <c r="E48" s="828"/>
      <c r="F48" s="828"/>
      <c r="G48" s="828"/>
      <c r="H48" s="813"/>
      <c r="I48" s="243"/>
      <c r="J48" s="244"/>
    </row>
    <row r="49" spans="3:10" ht="18" customHeight="1">
      <c r="C49" s="812"/>
      <c r="D49" s="813"/>
      <c r="E49" s="828"/>
      <c r="F49" s="828"/>
      <c r="G49" s="828"/>
      <c r="H49" s="813"/>
      <c r="I49" s="243"/>
      <c r="J49" s="244"/>
    </row>
    <row r="50" spans="3:10" ht="18" customHeight="1">
      <c r="C50" s="812"/>
      <c r="D50" s="813"/>
      <c r="E50" s="828"/>
      <c r="F50" s="828"/>
      <c r="G50" s="828"/>
      <c r="H50" s="813"/>
      <c r="I50" s="243"/>
      <c r="J50" s="244"/>
    </row>
    <row r="51" spans="3:10" ht="18" customHeight="1">
      <c r="C51" s="812"/>
      <c r="D51" s="813"/>
      <c r="E51" s="828"/>
      <c r="F51" s="828"/>
      <c r="G51" s="828"/>
      <c r="H51" s="813"/>
      <c r="I51" s="243"/>
      <c r="J51" s="244"/>
    </row>
    <row r="52" spans="3:10" ht="18" customHeight="1" thickBot="1">
      <c r="C52" s="812"/>
      <c r="D52" s="813"/>
      <c r="E52" s="829"/>
      <c r="F52" s="828"/>
      <c r="G52" s="828"/>
      <c r="H52" s="813"/>
      <c r="I52" s="243"/>
      <c r="J52" s="244"/>
    </row>
    <row r="53" spans="3:10" ht="18" customHeight="1" thickBot="1">
      <c r="C53" s="191"/>
      <c r="D53" s="818" t="s">
        <v>59</v>
      </c>
      <c r="E53" s="819"/>
      <c r="F53" s="819"/>
      <c r="G53" s="819"/>
      <c r="H53" s="820"/>
      <c r="I53" s="139">
        <f>SUM(I38:I52)</f>
        <v>828736.9199999999</v>
      </c>
      <c r="J53" s="139">
        <f>SUM(J38:J52)</f>
        <v>828736.9199999999</v>
      </c>
    </row>
    <row r="54" spans="3:10" ht="15" customHeight="1">
      <c r="C54" s="52"/>
      <c r="D54" s="54"/>
      <c r="E54" s="242"/>
      <c r="F54" s="242"/>
      <c r="G54" s="242"/>
      <c r="H54" s="242"/>
      <c r="I54" s="153"/>
      <c r="J54" s="153"/>
    </row>
    <row r="55" ht="15" customHeight="1" thickBot="1"/>
    <row r="56" spans="3:10" ht="19.5" customHeight="1" thickBot="1">
      <c r="C56" s="782" t="s">
        <v>225</v>
      </c>
      <c r="D56" s="830"/>
      <c r="E56" s="831"/>
      <c r="F56" s="831"/>
      <c r="G56" s="831"/>
      <c r="H56" s="831"/>
      <c r="I56" s="831"/>
      <c r="J56" s="832"/>
    </row>
    <row r="57" spans="3:10" ht="19.5" customHeight="1" thickBot="1">
      <c r="C57" s="833" t="s">
        <v>118</v>
      </c>
      <c r="D57" s="834"/>
      <c r="E57" s="834"/>
      <c r="F57" s="213" t="str">
        <f>IF(COMANDOBLOQUEADO!$U$6="1º TRIMESTRE","31 / 03 /",IF(COMANDOBLOQUEADO!$U$6="2º TRIMESTRE","30 / 06 /",IF(COMANDOBLOQUEADO!$U$6="3º TRIMESTRE","30 / 09 /",IF(COMANDOBLOQUEADO!$U$6="4º TRIMESTRE","31 / 12 /"))))</f>
        <v>31 / 12 /</v>
      </c>
      <c r="G57" s="214" t="str">
        <f>IF(COMANDOBLOQUEADO!$U$6="1º TRIMESTRE",COMANDOBLOQUEADO!$Y$6,IF(COMANDOBLOQUEADO!$U$6="2º TRIMESTRE",COMANDOBLOQUEADO!$Y$6,IF(COMANDOBLOQUEADO!$U$6="3º TRIMESTRE",COMANDOBLOQUEADO!$Y$6,IF(COMANDOBLOQUEADO!$U$6="4º TRIMESTRE",COMANDOBLOQUEADO!$Y$6))))</f>
        <v>2009</v>
      </c>
      <c r="H57" s="204"/>
      <c r="I57" s="492" t="s">
        <v>56</v>
      </c>
      <c r="J57" s="491" t="s">
        <v>54</v>
      </c>
    </row>
    <row r="58" spans="3:10" ht="15.75" thickBot="1">
      <c r="C58" s="671" t="s">
        <v>1103</v>
      </c>
      <c r="D58" s="825"/>
      <c r="E58" s="826" t="s">
        <v>53</v>
      </c>
      <c r="F58" s="827"/>
      <c r="G58" s="827"/>
      <c r="H58" s="827"/>
      <c r="I58" s="493" t="s">
        <v>57</v>
      </c>
      <c r="J58" s="494" t="s">
        <v>55</v>
      </c>
    </row>
    <row r="59" spans="3:10" ht="14.25">
      <c r="C59" s="814"/>
      <c r="D59" s="815"/>
      <c r="E59" s="828"/>
      <c r="F59" s="828"/>
      <c r="G59" s="828"/>
      <c r="H59" s="813"/>
      <c r="I59" s="243">
        <v>0</v>
      </c>
      <c r="J59" s="244">
        <v>0</v>
      </c>
    </row>
    <row r="60" spans="3:10" ht="18" customHeight="1">
      <c r="C60" s="812"/>
      <c r="D60" s="813"/>
      <c r="E60" s="828"/>
      <c r="F60" s="828"/>
      <c r="G60" s="828"/>
      <c r="H60" s="813"/>
      <c r="I60" s="243">
        <v>0</v>
      </c>
      <c r="J60" s="244">
        <v>0</v>
      </c>
    </row>
    <row r="61" spans="3:10" ht="18" customHeight="1">
      <c r="C61" s="812"/>
      <c r="D61" s="813"/>
      <c r="E61" s="828"/>
      <c r="F61" s="828"/>
      <c r="G61" s="828"/>
      <c r="H61" s="813"/>
      <c r="I61" s="243">
        <v>0</v>
      </c>
      <c r="J61" s="244">
        <v>0</v>
      </c>
    </row>
    <row r="62" spans="3:10" ht="18" customHeight="1" thickBot="1">
      <c r="C62" s="816"/>
      <c r="D62" s="817"/>
      <c r="E62" s="828"/>
      <c r="F62" s="828"/>
      <c r="G62" s="828"/>
      <c r="H62" s="813"/>
      <c r="I62" s="287">
        <v>0</v>
      </c>
      <c r="J62" s="288">
        <v>0</v>
      </c>
    </row>
    <row r="63" spans="3:10" ht="18" customHeight="1" thickBot="1">
      <c r="C63" s="191"/>
      <c r="D63" s="818" t="s">
        <v>59</v>
      </c>
      <c r="E63" s="819"/>
      <c r="F63" s="819"/>
      <c r="G63" s="819"/>
      <c r="H63" s="820"/>
      <c r="I63" s="139">
        <f>SUM(I59:I62)</f>
        <v>0</v>
      </c>
      <c r="J63" s="139">
        <f>SUM(J59:J62)</f>
        <v>0</v>
      </c>
    </row>
  </sheetData>
  <sheetProtection password="DEF0" sheet="1" objects="1" scenarios="1"/>
  <mergeCells count="94">
    <mergeCell ref="E38:H38"/>
    <mergeCell ref="E39:H39"/>
    <mergeCell ref="E59:H59"/>
    <mergeCell ref="E10:H10"/>
    <mergeCell ref="E11:H11"/>
    <mergeCell ref="E17:H17"/>
    <mergeCell ref="D18:H18"/>
    <mergeCell ref="E16:H16"/>
    <mergeCell ref="C10:D10"/>
    <mergeCell ref="C17:D17"/>
    <mergeCell ref="C11:D11"/>
    <mergeCell ref="C12:D12"/>
    <mergeCell ref="E12:H12"/>
    <mergeCell ref="E40:H40"/>
    <mergeCell ref="C13:D13"/>
    <mergeCell ref="E13:H13"/>
    <mergeCell ref="E14:H14"/>
    <mergeCell ref="E15:H15"/>
    <mergeCell ref="C14:D14"/>
    <mergeCell ref="C15:D15"/>
    <mergeCell ref="E41:H41"/>
    <mergeCell ref="C36:E36"/>
    <mergeCell ref="C21:J21"/>
    <mergeCell ref="E23:H23"/>
    <mergeCell ref="E24:H24"/>
    <mergeCell ref="E25:H25"/>
    <mergeCell ref="E27:H27"/>
    <mergeCell ref="E28:H28"/>
    <mergeCell ref="E26:H26"/>
    <mergeCell ref="C22:E22"/>
    <mergeCell ref="G2:H2"/>
    <mergeCell ref="C7:J7"/>
    <mergeCell ref="C4:J4"/>
    <mergeCell ref="C9:D9"/>
    <mergeCell ref="C2:D2"/>
    <mergeCell ref="C8:E8"/>
    <mergeCell ref="E9:H9"/>
    <mergeCell ref="C5:J5"/>
    <mergeCell ref="C16:D16"/>
    <mergeCell ref="C25:D25"/>
    <mergeCell ref="E58:H58"/>
    <mergeCell ref="E29:H29"/>
    <mergeCell ref="E30:H30"/>
    <mergeCell ref="E31:H31"/>
    <mergeCell ref="C56:J56"/>
    <mergeCell ref="C57:E57"/>
    <mergeCell ref="C30:D30"/>
    <mergeCell ref="C31:D31"/>
    <mergeCell ref="C58:D58"/>
    <mergeCell ref="D53:H53"/>
    <mergeCell ref="E49:H49"/>
    <mergeCell ref="E50:H50"/>
    <mergeCell ref="E51:H51"/>
    <mergeCell ref="E52:H52"/>
    <mergeCell ref="C52:D52"/>
    <mergeCell ref="C49:D49"/>
    <mergeCell ref="C50:D50"/>
    <mergeCell ref="C51:D51"/>
    <mergeCell ref="E48:H48"/>
    <mergeCell ref="E42:H42"/>
    <mergeCell ref="E43:H43"/>
    <mergeCell ref="E46:H46"/>
    <mergeCell ref="E47:H47"/>
    <mergeCell ref="E44:H44"/>
    <mergeCell ref="E45:H45"/>
    <mergeCell ref="D63:H63"/>
    <mergeCell ref="E60:H60"/>
    <mergeCell ref="E61:H61"/>
    <mergeCell ref="E62:H62"/>
    <mergeCell ref="C24:D24"/>
    <mergeCell ref="C23:D23"/>
    <mergeCell ref="C26:D26"/>
    <mergeCell ref="C27:D27"/>
    <mergeCell ref="C28:D28"/>
    <mergeCell ref="C29:D29"/>
    <mergeCell ref="C59:D59"/>
    <mergeCell ref="C62:D62"/>
    <mergeCell ref="C60:D60"/>
    <mergeCell ref="C61:D61"/>
    <mergeCell ref="D32:H32"/>
    <mergeCell ref="C35:J35"/>
    <mergeCell ref="C37:D37"/>
    <mergeCell ref="E37:H37"/>
    <mergeCell ref="C38:D38"/>
    <mergeCell ref="C39:D39"/>
    <mergeCell ref="C40:D40"/>
    <mergeCell ref="C41:D41"/>
    <mergeCell ref="C46:D46"/>
    <mergeCell ref="C47:D47"/>
    <mergeCell ref="C48:D48"/>
    <mergeCell ref="C42:D42"/>
    <mergeCell ref="C43:D43"/>
    <mergeCell ref="C44:D44"/>
    <mergeCell ref="C45:D45"/>
  </mergeCells>
  <printOptions/>
  <pageMargins left="0.7086614173228347" right="0.11811023622047245" top="0.73" bottom="0.7480314960629921" header="0.3937007874015748" footer="0.5905511811023623"/>
  <pageSetup horizontalDpi="180" verticalDpi="180" orientation="portrait" paperSize="9" scale="65" r:id="rId2"/>
  <headerFooter alignWithMargins="0">
    <oddHeader>&amp;R
</oddHeader>
  </headerFooter>
  <legacyDrawing r:id="rId1"/>
</worksheet>
</file>

<file path=xl/worksheets/sheet17.xml><?xml version="1.0" encoding="utf-8"?>
<worksheet xmlns="http://schemas.openxmlformats.org/spreadsheetml/2006/main" xmlns:r="http://schemas.openxmlformats.org/officeDocument/2006/relationships">
  <sheetPr codeName="Plan24"/>
  <dimension ref="C2:K58"/>
  <sheetViews>
    <sheetView showGridLines="0" showRowColHeaders="0" zoomScale="75" zoomScaleNormal="75" zoomScalePageLayoutView="0" workbookViewId="0" topLeftCell="B1">
      <selection activeCell="H47" sqref="H47"/>
    </sheetView>
  </sheetViews>
  <sheetFormatPr defaultColWidth="0" defaultRowHeight="12.75"/>
  <cols>
    <col min="1" max="1" width="1.1484375" style="58" hidden="1" customWidth="1"/>
    <col min="2" max="2" width="1.1484375" style="58" customWidth="1"/>
    <col min="3" max="3" width="4.7109375" style="58" customWidth="1"/>
    <col min="4" max="4" width="5.7109375" style="58" customWidth="1"/>
    <col min="5" max="5" width="20.7109375" style="58" customWidth="1"/>
    <col min="6" max="6" width="38.7109375" style="58" customWidth="1"/>
    <col min="7" max="7" width="7.00390625" style="58" customWidth="1"/>
    <col min="8" max="8" width="8.7109375" style="58" customWidth="1"/>
    <col min="9" max="10" width="28.7109375" style="58" customWidth="1"/>
    <col min="11" max="11" width="1.7109375" style="58" customWidth="1"/>
    <col min="12" max="16384" width="0" style="58" hidden="1" customWidth="1"/>
  </cols>
  <sheetData>
    <row r="1" ht="15" customHeight="1"/>
    <row r="2" spans="3:10" ht="12.75">
      <c r="C2" s="860" t="s">
        <v>67</v>
      </c>
      <c r="D2" s="860"/>
      <c r="E2" s="860"/>
      <c r="F2" s="199" t="str">
        <f>COMANDOBLOQUEADO!S19</f>
        <v>CESÁRIO LANGE</v>
      </c>
      <c r="G2" s="858" t="s">
        <v>268</v>
      </c>
      <c r="H2" s="859"/>
      <c r="I2" s="199" t="str">
        <f>COMANDOBLOQUEADO!U6</f>
        <v>4º TRIMESTRE</v>
      </c>
      <c r="J2" s="199" t="str">
        <f>COMANDOBLOQUEADO!Y6</f>
        <v>2009</v>
      </c>
    </row>
    <row r="3" spans="3:10" ht="15.75">
      <c r="C3" s="143"/>
      <c r="D3" s="143"/>
      <c r="E3" s="143"/>
      <c r="F3" s="143"/>
      <c r="G3" s="143"/>
      <c r="H3" s="143"/>
      <c r="I3" s="143"/>
      <c r="J3" s="143"/>
    </row>
    <row r="4" spans="3:10" ht="30" customHeight="1">
      <c r="C4" s="741" t="s">
        <v>60</v>
      </c>
      <c r="D4" s="741"/>
      <c r="E4" s="741"/>
      <c r="F4" s="837"/>
      <c r="G4" s="837"/>
      <c r="H4" s="837"/>
      <c r="I4" s="837"/>
      <c r="J4" s="837"/>
    </row>
    <row r="5" spans="3:10" ht="19.5" customHeight="1" thickBot="1">
      <c r="C5" s="52"/>
      <c r="D5" s="52"/>
      <c r="E5" s="52"/>
      <c r="F5" s="64"/>
      <c r="G5" s="64"/>
      <c r="H5" s="153"/>
      <c r="I5" s="153"/>
      <c r="J5" s="153"/>
    </row>
    <row r="6" spans="3:10" ht="21" customHeight="1" thickBot="1">
      <c r="C6" s="849" t="s">
        <v>198</v>
      </c>
      <c r="D6" s="850"/>
      <c r="E6" s="850"/>
      <c r="F6" s="850"/>
      <c r="G6" s="850"/>
      <c r="H6" s="850"/>
      <c r="I6" s="200" t="s">
        <v>1156</v>
      </c>
      <c r="J6" s="216" t="s">
        <v>1107</v>
      </c>
    </row>
    <row r="7" spans="3:10" ht="18" customHeight="1">
      <c r="C7" s="195" t="s">
        <v>61</v>
      </c>
      <c r="D7" s="865" t="s">
        <v>123</v>
      </c>
      <c r="E7" s="866"/>
      <c r="F7" s="866"/>
      <c r="G7" s="866"/>
      <c r="H7" s="866"/>
      <c r="I7" s="215"/>
      <c r="J7" s="217"/>
    </row>
    <row r="8" spans="3:10" s="161" customFormat="1" ht="15" customHeight="1">
      <c r="C8" s="245"/>
      <c r="D8" s="54" t="s">
        <v>64</v>
      </c>
      <c r="E8" s="861" t="s">
        <v>598</v>
      </c>
      <c r="F8" s="861"/>
      <c r="G8" s="861"/>
      <c r="H8" s="861"/>
      <c r="I8" s="863">
        <f>IF(COMANDOBLOQUEADO!U6="1º TRIMESTRE",RECEITAS!E30*0.25-RECEITAS!E41,IF(COMANDOBLOQUEADO!U6="2º TRIMESTRE",(RECEITAS!F30-RECEITAS!E30)*0.25-(RECEITAS!F41-RECEITAS!E41),IF(COMANDOBLOQUEADO!U6="3º TRIMESTRE",(RECEITAS!G30-RECEITAS!F30)*0.25-(RECEITAS!G41-RECEITAS!F41),(RECEITAS!H30-RECEITAS!G30)*0.25-(RECEITAS!H41-RECEITAS!G41))))</f>
        <v>231500.91249999916</v>
      </c>
      <c r="J8" s="864">
        <f>IF(COMANDOBLOQUEADO!U6="1º TRIMESTRE",RECEITAS!E30*0.25-RECEITAS!E41,IF(COMANDOBLOQUEADO!U6="2º TRIMESTRE",RECEITAS!F30*0.25-RECEITAS!F41,IF(COMANDOBLOQUEADO!U6="3º TRIMESTRE",RECEITAS!G30*0.25-RECEITAS!G41,RECEITAS!H30*0.25-RECEITAS!H41)))</f>
        <v>1143801.9349999991</v>
      </c>
    </row>
    <row r="9" spans="3:10" s="161" customFormat="1" ht="15" customHeight="1">
      <c r="C9" s="245"/>
      <c r="D9" s="251"/>
      <c r="E9" s="862"/>
      <c r="F9" s="862"/>
      <c r="G9" s="862"/>
      <c r="H9" s="862"/>
      <c r="I9" s="863"/>
      <c r="J9" s="864"/>
    </row>
    <row r="10" spans="3:10" s="161" customFormat="1" ht="15" customHeight="1">
      <c r="C10" s="245"/>
      <c r="D10" s="54" t="s">
        <v>65</v>
      </c>
      <c r="E10" s="861" t="s">
        <v>2</v>
      </c>
      <c r="F10" s="861"/>
      <c r="G10" s="861"/>
      <c r="H10" s="861"/>
      <c r="I10" s="863">
        <f>IF(COMANDOBLOQUEADO!U6="1º TRIMESTRE",REPASSES!H41,IF(COMANDOBLOQUEADO!U6="2º TRIMESTRE",REPASSES!H115,IF(COMANDOBLOQUEADO!U6="3º TRIMESTRE",REPASSES!H190,REPASSES!H265)))</f>
        <v>406758.69000000006</v>
      </c>
      <c r="J10" s="864">
        <f>SUM(REPASSES!H41+REPASSES!H115+REPASSES!H190+REPASSES!H265)</f>
        <v>1235637.75</v>
      </c>
    </row>
    <row r="11" spans="3:10" s="161" customFormat="1" ht="15" customHeight="1">
      <c r="C11" s="245"/>
      <c r="D11" s="251"/>
      <c r="E11" s="862"/>
      <c r="F11" s="862"/>
      <c r="G11" s="862"/>
      <c r="H11" s="862"/>
      <c r="I11" s="863"/>
      <c r="J11" s="864"/>
    </row>
    <row r="12" spans="3:10" ht="18" customHeight="1">
      <c r="C12" s="53" t="s">
        <v>62</v>
      </c>
      <c r="D12" s="623" t="s">
        <v>63</v>
      </c>
      <c r="E12" s="774"/>
      <c r="F12" s="774"/>
      <c r="G12" s="774"/>
      <c r="H12" s="774"/>
      <c r="I12" s="428"/>
      <c r="J12" s="429"/>
    </row>
    <row r="13" spans="3:10" ht="15.75" customHeight="1">
      <c r="C13" s="82"/>
      <c r="D13" s="192"/>
      <c r="E13" s="845" t="s">
        <v>68</v>
      </c>
      <c r="F13" s="774"/>
      <c r="G13" s="774"/>
      <c r="H13" s="774"/>
      <c r="I13" s="430">
        <f>IF(COMANDOBLOQUEADO!U6="1º TRIMESTRE",REPASSES!H10+REPASSES!H13+REPASSES!H16,IF(COMANDOBLOQUEADO!U6="2º TRIMESTRE",REPASSES!H84+REPASSES!H87+REPASSES!H90,IF(COMANDOBLOQUEADO!U6="3º TRIMESTRE",REPASSES!H159+REPASSES!H162+REPASSES!H165,REPASSES!H234+REPASSES!H237+REPASSES!H240)))</f>
        <v>123802.40000000001</v>
      </c>
      <c r="J13" s="431">
        <f>SUM(REPASSES!H10+REPASSES!H13+REPASSES!H16+REPASSES!H84+REPASSES!H87+REPASSES!H90+REPASSES!H159+REPASSES!H162+REPASSES!H165+REPASSES!H234+REPASSES!H237+REPASSES!H240)</f>
        <v>344981.25</v>
      </c>
    </row>
    <row r="14" spans="3:10" ht="15.75" customHeight="1">
      <c r="C14" s="82"/>
      <c r="D14" s="192"/>
      <c r="E14" s="845" t="s">
        <v>69</v>
      </c>
      <c r="F14" s="774"/>
      <c r="G14" s="774"/>
      <c r="H14" s="774"/>
      <c r="I14" s="430">
        <f>IF(COMANDOBLOQUEADO!U6="1º TRIMESTRE",REPASSES!H20+REPASSES!H23+REPASSES!H26,IF(COMANDOBLOQUEADO!U6="2º TRIMESTRE",REPASSES!H94+REPASSES!H97+REPASSES!H100,IF(COMANDOBLOQUEADO!U6="3º TRIMESTRE",REPASSES!H169+REPASSES!H172+REPASSES!H175,REPASSES!H244+REPASSES!H247+REPASSES!H250)))</f>
        <v>108460.8</v>
      </c>
      <c r="J14" s="431">
        <f>SUM(REPASSES!H20+REPASSES!H23+REPASSES!H26+REPASSES!H94+REPASSES!H97+REPASSES!H100+REPASSES!H169+REPASSES!H172+REPASSES!H175+REPASSES!H244+REPASSES!H247+REPASSES!H250)</f>
        <v>387698.37</v>
      </c>
    </row>
    <row r="15" spans="3:10" ht="15.75" customHeight="1">
      <c r="C15" s="73"/>
      <c r="D15" s="218"/>
      <c r="E15" s="845" t="s">
        <v>70</v>
      </c>
      <c r="F15" s="774"/>
      <c r="G15" s="774"/>
      <c r="H15" s="774"/>
      <c r="I15" s="430">
        <f>IF(COMANDOBLOQUEADO!U6="1º TRIMESTRE",REPASSES!H30+REPASSES!H33+REPASSES!H36,IF(COMANDOBLOQUEADO!U6="2º TRIMESTRE",REPASSES!H104+REPASSES!H107+REPASSES!H110,IF(COMANDOBLOQUEADO!U6="3º TRIMESTRE",REPASSES!H179+REPASSES!H182+REPASSES!H185,REPASSES!H254+REPASSES!H257+REPASSES!H260)))</f>
        <v>174495.49000000002</v>
      </c>
      <c r="J15" s="423">
        <f>SUM(REPASSES!H30+REPASSES!H33+REPASSES!H36+REPASSES!H104+REPASSES!H107+REPASSES!H110+REPASSES!H179+REPASSES!H182+REPASSES!H185+REPASSES!H254+REPASSES!H257+REPASSES!H260)</f>
        <v>502958.13000000006</v>
      </c>
    </row>
    <row r="16" spans="3:11" ht="15.75" customHeight="1">
      <c r="C16" s="73"/>
      <c r="D16" s="52" t="s">
        <v>71</v>
      </c>
      <c r="E16" s="845" t="s">
        <v>66</v>
      </c>
      <c r="F16" s="774"/>
      <c r="G16" s="774"/>
      <c r="H16" s="774"/>
      <c r="I16" s="432">
        <f>SUM(I13:I15)</f>
        <v>406758.69000000006</v>
      </c>
      <c r="J16" s="424">
        <f>SUM(J13:J15)</f>
        <v>1235637.75</v>
      </c>
      <c r="K16" s="205"/>
    </row>
    <row r="17" spans="3:10" ht="7.5" customHeight="1" thickBot="1">
      <c r="C17" s="73"/>
      <c r="D17" s="67"/>
      <c r="E17" s="869"/>
      <c r="F17" s="808"/>
      <c r="G17" s="808"/>
      <c r="H17" s="808"/>
      <c r="I17" s="433"/>
      <c r="J17" s="434"/>
    </row>
    <row r="18" spans="3:10" ht="18" customHeight="1" thickBot="1">
      <c r="C18" s="658" t="s">
        <v>72</v>
      </c>
      <c r="D18" s="867"/>
      <c r="E18" s="848" t="str">
        <f>IF(I18&gt;=0,"REPASSES A MAIOR NO TRIMESTRE","REPASSES  A MENOR NO TRIMESTRE")</f>
        <v>REPASSES A MAIOR NO TRIMESTRE</v>
      </c>
      <c r="F18" s="867"/>
      <c r="G18" s="867"/>
      <c r="H18" s="868"/>
      <c r="I18" s="201">
        <f>I16-I8</f>
        <v>175257.7775000009</v>
      </c>
      <c r="J18" s="202">
        <f>J16-J8</f>
        <v>91835.81500000088</v>
      </c>
    </row>
    <row r="19" spans="3:10" ht="18" customHeight="1" thickBot="1">
      <c r="C19" s="658" t="s">
        <v>108</v>
      </c>
      <c r="D19" s="867"/>
      <c r="E19" s="848" t="str">
        <f>IF(I19&gt;=0,"REPASSES A MAIOR NO TRIMESTRE","REPASSES  A MENOR NO TRIMESTRE")</f>
        <v>REPASSES A MAIOR NO TRIMESTRE</v>
      </c>
      <c r="F19" s="867"/>
      <c r="G19" s="867"/>
      <c r="H19" s="868"/>
      <c r="I19" s="201">
        <f>I16-I10</f>
        <v>0</v>
      </c>
      <c r="J19" s="202">
        <f>J16-J10</f>
        <v>0</v>
      </c>
    </row>
    <row r="20" spans="3:10" ht="45" customHeight="1" thickBot="1">
      <c r="C20" s="52"/>
      <c r="D20" s="52"/>
      <c r="E20" s="52"/>
      <c r="F20" s="64"/>
      <c r="G20" s="64"/>
      <c r="H20" s="153"/>
      <c r="I20" s="153"/>
      <c r="J20" s="153"/>
    </row>
    <row r="21" spans="3:10" ht="21" customHeight="1" thickBot="1">
      <c r="C21" s="849" t="s">
        <v>216</v>
      </c>
      <c r="D21" s="850"/>
      <c r="E21" s="850"/>
      <c r="F21" s="851"/>
      <c r="G21" s="851"/>
      <c r="H21" s="851"/>
      <c r="I21" s="851"/>
      <c r="J21" s="852"/>
    </row>
    <row r="22" spans="3:10" ht="18" customHeight="1" thickBot="1">
      <c r="C22" s="658" t="s">
        <v>217</v>
      </c>
      <c r="D22" s="848"/>
      <c r="E22" s="848"/>
      <c r="F22" s="853"/>
      <c r="G22" s="853"/>
      <c r="H22" s="853"/>
      <c r="I22" s="854"/>
      <c r="J22" s="127" t="s">
        <v>1104</v>
      </c>
    </row>
    <row r="23" spans="3:10" ht="18" customHeight="1">
      <c r="C23" s="82"/>
      <c r="D23" s="855" t="s">
        <v>929</v>
      </c>
      <c r="E23" s="806"/>
      <c r="F23" s="806"/>
      <c r="G23" s="806"/>
      <c r="H23" s="806"/>
      <c r="I23" s="709"/>
      <c r="J23" s="420">
        <f>IF(COMANDOBLOQUEADO!U6="1º TRIMESTRE",ADMERFUND!D54+INJAESP!D58,IF(COMANDOBLOQUEADO!U6="2º TRIMESTRE",ADMERFUND!E54+INJAESP!E58,IF(COMANDOBLOQUEADO!U6="3º TRIMESTRE",ADMERFUND!F54+INJAESP!F58,ADMERFUND!G54+INJAESP!G58)))</f>
        <v>2428366.9699999997</v>
      </c>
    </row>
    <row r="24" spans="3:10" ht="18" customHeight="1">
      <c r="C24" s="82" t="s">
        <v>1256</v>
      </c>
      <c r="D24" s="845" t="s">
        <v>107</v>
      </c>
      <c r="E24" s="846"/>
      <c r="F24" s="846"/>
      <c r="G24" s="846"/>
      <c r="H24" s="846"/>
      <c r="I24" s="847"/>
      <c r="J24" s="420">
        <f>IF(COMANDOBLOQUEADO!U6="1º TRIMESTRE",GLOSAS!D34+GLOSAS!D43+GLOSAS!D52,IF(COMANDOBLOQUEADO!U6="2º TRIMESTRE",GLOSAS!E34+GLOSAS!E43+GLOSAS!E52,IF(COMANDOBLOQUEADO!U6="3º TRIMESTRE",GLOSAS!F34+GLOSAS!F43+GLOSAS!F52,GLOSAS!G34+GLOSAS!G43+GLOSAS!G52)))</f>
        <v>961678.36</v>
      </c>
    </row>
    <row r="25" spans="3:10" ht="18" customHeight="1">
      <c r="C25" s="208" t="s">
        <v>1272</v>
      </c>
      <c r="D25" s="842" t="s">
        <v>922</v>
      </c>
      <c r="E25" s="843"/>
      <c r="F25" s="843"/>
      <c r="G25" s="843"/>
      <c r="H25" s="843"/>
      <c r="I25" s="844"/>
      <c r="J25" s="220">
        <f>J23-J24</f>
        <v>1466688.6099999999</v>
      </c>
    </row>
    <row r="26" spans="3:10" ht="18" customHeight="1" thickBot="1">
      <c r="C26" s="82" t="s">
        <v>1256</v>
      </c>
      <c r="D26" s="845" t="s">
        <v>923</v>
      </c>
      <c r="E26" s="846"/>
      <c r="F26" s="846"/>
      <c r="G26" s="846"/>
      <c r="H26" s="846"/>
      <c r="I26" s="847"/>
      <c r="J26" s="420">
        <f>ADMERFUND!$I$54+INJAESP!$I$58-GLOSAS!$I$34-GLOSAS!$I$43-GLOSAS!$I$52</f>
        <v>1466688.6099999999</v>
      </c>
    </row>
    <row r="27" spans="3:10" ht="18" customHeight="1" thickBot="1">
      <c r="C27" s="191" t="s">
        <v>1272</v>
      </c>
      <c r="D27" s="848" t="str">
        <f>IF(COMANDOBLOQUEADO!$U$6="4º TRIMESTRE",LOGICA!AK202,IF(FINANCEIRO!J27&lt;=0,"NÃO HÁ EMPENHOS A PAGAR","TOTAL DE EMPENHOS A PAGAR"))</f>
        <v>NÃO HÁ RESTOS A PAGAR</v>
      </c>
      <c r="E27" s="753"/>
      <c r="F27" s="753"/>
      <c r="G27" s="753"/>
      <c r="H27" s="753"/>
      <c r="I27" s="754"/>
      <c r="J27" s="202">
        <f>J25-J26</f>
        <v>0</v>
      </c>
    </row>
    <row r="28" spans="3:10" ht="18" customHeight="1" thickBot="1">
      <c r="C28" s="191"/>
      <c r="D28" s="777" t="s">
        <v>660</v>
      </c>
      <c r="E28" s="856"/>
      <c r="F28" s="856"/>
      <c r="G28" s="856"/>
      <c r="H28" s="856"/>
      <c r="I28" s="857"/>
      <c r="J28" s="506">
        <f>CONTAS!$I$18</f>
        <v>2432.27</v>
      </c>
    </row>
    <row r="29" spans="3:10" ht="18" customHeight="1" thickBot="1">
      <c r="C29" s="191"/>
      <c r="D29" s="848" t="str">
        <f>IF(COMANDOBLOQUEADO!$U$6="4º TRIMESTRE",LOGICA!AK203,IF(J29&gt;0,"SALDO FINANCEIRO DISPONÍVEL A APLICAR",IF(J29=0,"NÃO HÁ SALDO FINANCEIRO A APLICAR","EMPENHOS A PAGAR SEM LASTRO FINANCEIRO")))</f>
        <v>SALDO FINANCEIRO DISPONÍVEL A APLICAR</v>
      </c>
      <c r="E29" s="753"/>
      <c r="F29" s="753"/>
      <c r="G29" s="753"/>
      <c r="H29" s="753"/>
      <c r="I29" s="754"/>
      <c r="J29" s="202">
        <f>J28-J27</f>
        <v>2432.27</v>
      </c>
    </row>
    <row r="30" spans="3:10" s="421" customFormat="1" ht="45" customHeight="1" thickBot="1">
      <c r="C30" s="840">
        <f>IF(J24&gt;J23,"Mensagem! O montante das despesas empenhadas com recursos adicionais (Quadro 2-D) está limitado ao montante das despesas empenhadas nos Quadros 2-A e 2-B. Rever lançamentos.",IF(J26&lt;0,"Mensagem! O montante das despesas pagas com recursos adicionais (Quadro 2-D) está limitado ao montante das despesas pagas lançadas nos Quadros 2-A e 2-B. Rever lançamentos.",""))</f>
      </c>
      <c r="D30" s="841"/>
      <c r="E30" s="841"/>
      <c r="F30" s="841"/>
      <c r="G30" s="841"/>
      <c r="H30" s="841"/>
      <c r="I30" s="841"/>
      <c r="J30" s="841"/>
    </row>
    <row r="31" spans="3:10" ht="21" customHeight="1" thickBot="1">
      <c r="C31" s="849" t="s">
        <v>132</v>
      </c>
      <c r="D31" s="850"/>
      <c r="E31" s="850"/>
      <c r="F31" s="851"/>
      <c r="G31" s="851"/>
      <c r="H31" s="851"/>
      <c r="I31" s="851"/>
      <c r="J31" s="852"/>
    </row>
    <row r="32" spans="3:10" ht="18" customHeight="1" thickBot="1">
      <c r="C32" s="658" t="s">
        <v>131</v>
      </c>
      <c r="D32" s="848"/>
      <c r="E32" s="848"/>
      <c r="F32" s="853"/>
      <c r="G32" s="853"/>
      <c r="H32" s="853"/>
      <c r="I32" s="854"/>
      <c r="J32" s="127" t="s">
        <v>1104</v>
      </c>
    </row>
    <row r="33" spans="3:10" ht="18" customHeight="1">
      <c r="C33" s="82"/>
      <c r="D33" s="855" t="s">
        <v>928</v>
      </c>
      <c r="E33" s="806"/>
      <c r="F33" s="806"/>
      <c r="G33" s="806"/>
      <c r="H33" s="806"/>
      <c r="I33" s="709"/>
      <c r="J33" s="420">
        <f>ADMERFUND!H54+INJAESP!H58</f>
        <v>2428366.9699999997</v>
      </c>
    </row>
    <row r="34" spans="3:10" ht="18" customHeight="1">
      <c r="C34" s="82" t="s">
        <v>1256</v>
      </c>
      <c r="D34" s="845" t="s">
        <v>930</v>
      </c>
      <c r="E34" s="846"/>
      <c r="F34" s="846"/>
      <c r="G34" s="846"/>
      <c r="H34" s="846"/>
      <c r="I34" s="847"/>
      <c r="J34" s="420">
        <f>GLOSAS!$H$34+GLOSAS!$H$43+GLOSAS!$H$52</f>
        <v>961678.36</v>
      </c>
    </row>
    <row r="35" spans="3:10" ht="18" customHeight="1">
      <c r="C35" s="208" t="s">
        <v>1272</v>
      </c>
      <c r="D35" s="842" t="s">
        <v>932</v>
      </c>
      <c r="E35" s="843"/>
      <c r="F35" s="843"/>
      <c r="G35" s="843"/>
      <c r="H35" s="843"/>
      <c r="I35" s="844"/>
      <c r="J35" s="221">
        <f>J33-J34</f>
        <v>1466688.6099999999</v>
      </c>
    </row>
    <row r="36" spans="3:10" ht="18" customHeight="1" thickBot="1">
      <c r="C36" s="82" t="s">
        <v>931</v>
      </c>
      <c r="D36" s="845" t="s">
        <v>923</v>
      </c>
      <c r="E36" s="846"/>
      <c r="F36" s="846"/>
      <c r="G36" s="846"/>
      <c r="H36" s="846"/>
      <c r="I36" s="847"/>
      <c r="J36" s="420">
        <f>ADMERFUND!$I$54+INJAESP!$I$58-GLOSAS!$I$34-GLOSAS!$I$43-GLOSAS!$I$52</f>
        <v>1466688.6099999999</v>
      </c>
    </row>
    <row r="37" spans="3:10" ht="18" customHeight="1" thickBot="1">
      <c r="C37" s="191" t="s">
        <v>1272</v>
      </c>
      <c r="D37" s="848" t="str">
        <f>IF(COMANDOBLOQUEADO!$U$6="4º TRIMESTRE",LOGICA!AK205,IF(FINANCEIRO!J37&lt;=0,"NÃO HÁ DESPESAS LIQUIDADAS A PAGAR","TOTAL DE DESPESAS LIQUIDADAS A PAGAR"))</f>
        <v>NÃO HÁ RESTOS A PAGAR PROCESSADOS</v>
      </c>
      <c r="E37" s="753"/>
      <c r="F37" s="753"/>
      <c r="G37" s="753"/>
      <c r="H37" s="753"/>
      <c r="I37" s="754"/>
      <c r="J37" s="202">
        <f>J35-J36</f>
        <v>0</v>
      </c>
    </row>
    <row r="38" spans="3:10" ht="18" customHeight="1" thickBot="1">
      <c r="C38" s="191"/>
      <c r="D38" s="777" t="s">
        <v>660</v>
      </c>
      <c r="E38" s="856"/>
      <c r="F38" s="856"/>
      <c r="G38" s="856"/>
      <c r="H38" s="856"/>
      <c r="I38" s="857"/>
      <c r="J38" s="506">
        <f>CONTAS!$I$18</f>
        <v>2432.27</v>
      </c>
    </row>
    <row r="39" spans="3:10" ht="18" customHeight="1" thickBot="1">
      <c r="C39" s="191"/>
      <c r="D39" s="848" t="str">
        <f>IF(COMANDOBLOQUEADO!$U$6="4º TRIMESTRE",LOGICA!AK206,IF(J39&gt;0,"SALDO FINANCEIRO DISPONÍVEL PARA COBERTURA DE DESPESAS NÃO LIQUIDADAS",IF(J39=0,"NÃO HÁ SALDO FINANCEIRO","DESPESAS LIQUIDADAS SEM LASTRO FINANCEIRO")))</f>
        <v>SALDO FINANCEIRO DISPONÍVEL PARA COBERTURA DE RESTOS A PAGAR NÃO PROCESSADOS</v>
      </c>
      <c r="E39" s="753"/>
      <c r="F39" s="753"/>
      <c r="G39" s="753"/>
      <c r="H39" s="753"/>
      <c r="I39" s="754"/>
      <c r="J39" s="202">
        <f>J38-J37</f>
        <v>2432.27</v>
      </c>
    </row>
    <row r="40" spans="3:10" ht="45" customHeight="1" thickBot="1">
      <c r="C40" s="840">
        <f>IF(J33&lt;(J34+J36),"Mensagem! O montante da liquidação dos Quadros 2-A e 2-B tem que ser em valor superior à liquidação do Quadro 2-D acrescida das despesas pagas com recursos próprios. Rever lançamentos.","")</f>
      </c>
      <c r="D40" s="841"/>
      <c r="E40" s="841"/>
      <c r="F40" s="841"/>
      <c r="G40" s="841"/>
      <c r="H40" s="841"/>
      <c r="I40" s="841"/>
      <c r="J40" s="841"/>
    </row>
    <row r="41" spans="3:10" ht="21" customHeight="1" thickBot="1">
      <c r="C41" s="877" t="s">
        <v>130</v>
      </c>
      <c r="D41" s="878"/>
      <c r="E41" s="878"/>
      <c r="F41" s="879"/>
      <c r="G41" s="879"/>
      <c r="H41" s="879"/>
      <c r="I41" s="879"/>
      <c r="J41" s="880"/>
    </row>
    <row r="42" spans="3:10" ht="18" customHeight="1" thickBot="1">
      <c r="C42" s="671" t="s">
        <v>220</v>
      </c>
      <c r="D42" s="819"/>
      <c r="E42" s="819"/>
      <c r="F42" s="819"/>
      <c r="G42" s="819"/>
      <c r="H42" s="820"/>
      <c r="I42" s="126" t="s">
        <v>223</v>
      </c>
      <c r="J42" s="127" t="s">
        <v>221</v>
      </c>
    </row>
    <row r="43" spans="3:10" ht="15.75" customHeight="1">
      <c r="C43" s="649" t="s">
        <v>218</v>
      </c>
      <c r="D43" s="873"/>
      <c r="E43" s="873"/>
      <c r="F43" s="873"/>
      <c r="G43" s="873"/>
      <c r="H43" s="873"/>
      <c r="I43" s="873"/>
      <c r="J43" s="222"/>
    </row>
    <row r="44" spans="3:10" ht="15.75" customHeight="1">
      <c r="C44" s="246"/>
      <c r="D44" s="876" t="s">
        <v>219</v>
      </c>
      <c r="E44" s="876"/>
      <c r="F44" s="876"/>
      <c r="G44" s="876"/>
      <c r="H44" s="876"/>
      <c r="I44" s="228">
        <f>CONTAS!I18</f>
        <v>2432.27</v>
      </c>
      <c r="J44" s="222"/>
    </row>
    <row r="45" spans="3:10" ht="15.75" customHeight="1" thickBot="1">
      <c r="C45" s="246"/>
      <c r="D45" s="871" t="s">
        <v>737</v>
      </c>
      <c r="E45" s="871"/>
      <c r="F45" s="871"/>
      <c r="G45" s="871"/>
      <c r="H45" s="872"/>
      <c r="I45" s="228">
        <f>SALDOS!G17</f>
        <v>-231050.85999999987</v>
      </c>
      <c r="J45" s="250">
        <f>I44-I45</f>
        <v>233483.12999999986</v>
      </c>
    </row>
    <row r="46" spans="3:10" ht="15.75" customHeight="1" thickBot="1">
      <c r="C46" s="252"/>
      <c r="D46" s="848" t="str">
        <f>IF(J45&lt;0,"SALDO BANCÁRIO CONCILIADO A MENOR",IF(J45=0,"","SALDO BANCÁRIO CONCILIADO A MAIOR"))</f>
        <v>SALDO BANCÁRIO CONCILIADO A MAIOR</v>
      </c>
      <c r="E46" s="753"/>
      <c r="F46" s="753"/>
      <c r="G46" s="753"/>
      <c r="H46" s="753"/>
      <c r="I46" s="753"/>
      <c r="J46" s="870"/>
    </row>
    <row r="47" spans="3:10" ht="15.75" customHeight="1">
      <c r="C47" s="874" t="s">
        <v>222</v>
      </c>
      <c r="D47" s="875"/>
      <c r="E47" s="875"/>
      <c r="F47" s="875"/>
      <c r="G47" s="875"/>
      <c r="H47" s="875"/>
      <c r="I47" s="774"/>
      <c r="J47" s="222"/>
    </row>
    <row r="48" spans="3:10" ht="15.75" customHeight="1">
      <c r="C48" s="246"/>
      <c r="D48" s="876" t="s">
        <v>219</v>
      </c>
      <c r="E48" s="876"/>
      <c r="F48" s="876"/>
      <c r="G48" s="876"/>
      <c r="H48" s="876"/>
      <c r="I48" s="228">
        <f>CONTAS!I32</f>
        <v>323965.83</v>
      </c>
      <c r="J48" s="222"/>
    </row>
    <row r="49" spans="3:10" ht="15.75" customHeight="1" thickBot="1">
      <c r="C49" s="246"/>
      <c r="D49" s="871" t="s">
        <v>737</v>
      </c>
      <c r="E49" s="871"/>
      <c r="F49" s="871"/>
      <c r="G49" s="871"/>
      <c r="H49" s="872"/>
      <c r="I49" s="228">
        <f>SALDOS!G27</f>
        <v>137656.90999999922</v>
      </c>
      <c r="J49" s="223">
        <f>I48-I49</f>
        <v>186308.9200000008</v>
      </c>
    </row>
    <row r="50" spans="3:10" ht="15.75" customHeight="1" thickBot="1">
      <c r="C50" s="252"/>
      <c r="D50" s="848" t="str">
        <f>IF(J49&lt;0,"SALDO BANCÁRIO CONCILIADO A MENOR",IF(J49=0,"","SALDO BANCÁRIO CONCILIADO A MAIOR"))</f>
        <v>SALDO BANCÁRIO CONCILIADO A MAIOR</v>
      </c>
      <c r="E50" s="753"/>
      <c r="F50" s="753"/>
      <c r="G50" s="753"/>
      <c r="H50" s="753"/>
      <c r="I50" s="753"/>
      <c r="J50" s="870"/>
    </row>
    <row r="51" spans="3:10" ht="15.75" customHeight="1">
      <c r="C51" s="874" t="s">
        <v>597</v>
      </c>
      <c r="D51" s="875"/>
      <c r="E51" s="875"/>
      <c r="F51" s="875"/>
      <c r="G51" s="875"/>
      <c r="H51" s="875"/>
      <c r="I51" s="774"/>
      <c r="J51" s="222"/>
    </row>
    <row r="52" spans="3:10" ht="15.75" customHeight="1">
      <c r="C52" s="246"/>
      <c r="D52" s="876" t="s">
        <v>219</v>
      </c>
      <c r="E52" s="876"/>
      <c r="F52" s="876"/>
      <c r="G52" s="876"/>
      <c r="H52" s="876"/>
      <c r="I52" s="228">
        <f>CONTAS!I53</f>
        <v>828736.9199999999</v>
      </c>
      <c r="J52" s="222"/>
    </row>
    <row r="53" spans="3:10" ht="15.75" customHeight="1" thickBot="1">
      <c r="C53" s="246"/>
      <c r="D53" s="871" t="s">
        <v>737</v>
      </c>
      <c r="E53" s="871"/>
      <c r="F53" s="871"/>
      <c r="G53" s="871"/>
      <c r="H53" s="872"/>
      <c r="I53" s="228">
        <f>SALDOS!G38+SALDOS!G49+SALDOS!G60+SALDOS!G71</f>
        <v>1214363.9699999997</v>
      </c>
      <c r="J53" s="223">
        <f>I52-I53</f>
        <v>-385627.0499999998</v>
      </c>
    </row>
    <row r="54" spans="3:10" ht="15.75" customHeight="1" thickBot="1">
      <c r="C54" s="252"/>
      <c r="D54" s="848" t="str">
        <f>IF(J53&lt;0,"SALDO BANCÁRIO CONCILIADO A MENOR",IF(J53=0,"","SALDO BANCÁRIO CONCILIADO A MAIOR"))</f>
        <v>SALDO BANCÁRIO CONCILIADO A MENOR</v>
      </c>
      <c r="E54" s="753"/>
      <c r="F54" s="753"/>
      <c r="G54" s="753"/>
      <c r="H54" s="753"/>
      <c r="I54" s="753"/>
      <c r="J54" s="870"/>
    </row>
    <row r="55" spans="3:10" ht="15">
      <c r="C55" s="874" t="s">
        <v>226</v>
      </c>
      <c r="D55" s="875"/>
      <c r="E55" s="875"/>
      <c r="F55" s="875"/>
      <c r="G55" s="875"/>
      <c r="H55" s="875"/>
      <c r="I55" s="774"/>
      <c r="J55" s="222"/>
    </row>
    <row r="56" spans="3:10" ht="15">
      <c r="C56" s="246"/>
      <c r="D56" s="876" t="s">
        <v>219</v>
      </c>
      <c r="E56" s="876"/>
      <c r="F56" s="876"/>
      <c r="G56" s="876"/>
      <c r="H56" s="876"/>
      <c r="I56" s="228">
        <f>CONTAS!I63</f>
        <v>0</v>
      </c>
      <c r="J56" s="222"/>
    </row>
    <row r="57" spans="3:10" ht="15.75" thickBot="1">
      <c r="C57" s="246"/>
      <c r="D57" s="871" t="s">
        <v>737</v>
      </c>
      <c r="E57" s="871"/>
      <c r="F57" s="871"/>
      <c r="G57" s="871"/>
      <c r="H57" s="872"/>
      <c r="I57" s="228">
        <f>SALDOS!G80</f>
        <v>0</v>
      </c>
      <c r="J57" s="223">
        <f>I56-I57</f>
        <v>0</v>
      </c>
    </row>
    <row r="58" spans="3:10" ht="15.75" thickBot="1">
      <c r="C58" s="252"/>
      <c r="D58" s="848">
        <f>IF(J57&lt;0,"SALDO BANCÁRIO CONCILIADO A MENOR",IF(J57=0,"","SALDO BANCÁRIO CONCILIADO A MAIOR"))</f>
      </c>
      <c r="E58" s="753"/>
      <c r="F58" s="753"/>
      <c r="G58" s="753"/>
      <c r="H58" s="753"/>
      <c r="I58" s="753"/>
      <c r="J58" s="870"/>
    </row>
  </sheetData>
  <sheetProtection password="DEF0" sheet="1" objects="1" scenarios="1"/>
  <mergeCells count="59">
    <mergeCell ref="C51:I51"/>
    <mergeCell ref="D52:H52"/>
    <mergeCell ref="D53:H53"/>
    <mergeCell ref="C41:J41"/>
    <mergeCell ref="D48:H48"/>
    <mergeCell ref="D49:H49"/>
    <mergeCell ref="D46:J46"/>
    <mergeCell ref="D50:J50"/>
    <mergeCell ref="D58:J58"/>
    <mergeCell ref="C42:H42"/>
    <mergeCell ref="D45:H45"/>
    <mergeCell ref="C43:I43"/>
    <mergeCell ref="C47:I47"/>
    <mergeCell ref="D44:H44"/>
    <mergeCell ref="C55:I55"/>
    <mergeCell ref="D56:H56"/>
    <mergeCell ref="D57:H57"/>
    <mergeCell ref="D54:J54"/>
    <mergeCell ref="D24:I24"/>
    <mergeCell ref="E17:H17"/>
    <mergeCell ref="D36:I36"/>
    <mergeCell ref="D37:I37"/>
    <mergeCell ref="D28:I28"/>
    <mergeCell ref="D27:I27"/>
    <mergeCell ref="C30:J30"/>
    <mergeCell ref="D35:I35"/>
    <mergeCell ref="D34:I34"/>
    <mergeCell ref="E14:H14"/>
    <mergeCell ref="E15:H15"/>
    <mergeCell ref="I10:I11"/>
    <mergeCell ref="E10:H11"/>
    <mergeCell ref="D12:H12"/>
    <mergeCell ref="E16:H16"/>
    <mergeCell ref="C21:J21"/>
    <mergeCell ref="C22:I22"/>
    <mergeCell ref="D23:I23"/>
    <mergeCell ref="E18:H18"/>
    <mergeCell ref="C18:D18"/>
    <mergeCell ref="C19:D19"/>
    <mergeCell ref="E19:H19"/>
    <mergeCell ref="G2:H2"/>
    <mergeCell ref="C4:J4"/>
    <mergeCell ref="C6:H6"/>
    <mergeCell ref="E13:H13"/>
    <mergeCell ref="C2:E2"/>
    <mergeCell ref="E8:H9"/>
    <mergeCell ref="I8:I9"/>
    <mergeCell ref="J8:J9"/>
    <mergeCell ref="J10:J11"/>
    <mergeCell ref="D7:H7"/>
    <mergeCell ref="C40:J40"/>
    <mergeCell ref="D25:I25"/>
    <mergeCell ref="D26:I26"/>
    <mergeCell ref="D29:I29"/>
    <mergeCell ref="C31:J31"/>
    <mergeCell ref="C32:I32"/>
    <mergeCell ref="D33:I33"/>
    <mergeCell ref="D39:I39"/>
    <mergeCell ref="D38:I38"/>
  </mergeCells>
  <printOptions/>
  <pageMargins left="0.7086614173228347" right="0.11811023622047245" top="0.6299212598425197" bottom="0.48" header="0.3937007874015748" footer="0.77"/>
  <pageSetup horizontalDpi="180" verticalDpi="180" orientation="portrait" paperSize="9" scale="65" r:id="rId2"/>
  <headerFooter alignWithMargins="0">
    <oddHeader>&amp;R
</oddHeader>
  </headerFooter>
  <legacyDrawing r:id="rId1"/>
</worksheet>
</file>

<file path=xl/worksheets/sheet18.xml><?xml version="1.0" encoding="utf-8"?>
<worksheet xmlns="http://schemas.openxmlformats.org/spreadsheetml/2006/main" xmlns:r="http://schemas.openxmlformats.org/officeDocument/2006/relationships">
  <sheetPr codeName="Plan25"/>
  <dimension ref="A2:Q47"/>
  <sheetViews>
    <sheetView showGridLines="0" showRowColHeaders="0" zoomScale="75" zoomScaleNormal="75" zoomScalePageLayoutView="0" workbookViewId="0" topLeftCell="A1">
      <selection activeCell="B2" sqref="B2"/>
    </sheetView>
  </sheetViews>
  <sheetFormatPr defaultColWidth="9.140625" defaultRowHeight="12.75"/>
  <cols>
    <col min="1" max="1" width="1.7109375" style="58" customWidth="1"/>
    <col min="2" max="2" width="4.57421875" style="58" customWidth="1"/>
    <col min="3" max="3" width="12.7109375" style="58" customWidth="1"/>
    <col min="4" max="4" width="15.7109375" style="58" customWidth="1"/>
    <col min="5" max="5" width="22.7109375" style="58" customWidth="1"/>
    <col min="6" max="6" width="20.7109375" style="58" customWidth="1"/>
    <col min="7" max="7" width="7.7109375" style="58" customWidth="1"/>
    <col min="8" max="8" width="5.7109375" style="58" customWidth="1"/>
    <col min="9" max="10" width="3.7109375" style="58" customWidth="1"/>
    <col min="11" max="11" width="5.7109375" style="58" customWidth="1"/>
    <col min="12" max="12" width="3.7109375" style="58" customWidth="1"/>
    <col min="13" max="13" width="1.7109375" style="58" customWidth="1"/>
    <col min="14" max="16384" width="9.140625" style="58" customWidth="1"/>
  </cols>
  <sheetData>
    <row r="2" spans="2:4" ht="15">
      <c r="B2" s="495" t="s">
        <v>194</v>
      </c>
      <c r="C2" s="495"/>
      <c r="D2" s="58" t="str">
        <f>COMANDOBLOQUEADO!S19</f>
        <v>CESÁRIO LANGE</v>
      </c>
    </row>
    <row r="3" spans="2:3" ht="7.5" customHeight="1">
      <c r="B3" s="495"/>
      <c r="C3" s="495"/>
    </row>
    <row r="4" spans="2:7" ht="15">
      <c r="B4" s="495" t="s">
        <v>268</v>
      </c>
      <c r="C4" s="495"/>
      <c r="D4" s="225" t="str">
        <f>COMANDOBLOQUEADO!U6</f>
        <v>4º TRIMESTRE</v>
      </c>
      <c r="F4" s="490" t="s">
        <v>1251</v>
      </c>
      <c r="G4" s="225" t="str">
        <f>COMANDOBLOQUEADO!Y6</f>
        <v>2009</v>
      </c>
    </row>
    <row r="5" ht="15" customHeight="1"/>
    <row r="6" spans="2:12" ht="4.5" customHeight="1">
      <c r="B6" s="884" t="s">
        <v>133</v>
      </c>
      <c r="C6" s="885"/>
      <c r="D6" s="885"/>
      <c r="E6" s="885"/>
      <c r="F6" s="885"/>
      <c r="G6" s="885"/>
      <c r="H6" s="885"/>
      <c r="I6" s="886"/>
      <c r="J6" s="886"/>
      <c r="K6" s="886"/>
      <c r="L6" s="886"/>
    </row>
    <row r="7" spans="2:12" ht="4.5" customHeight="1">
      <c r="B7" s="886"/>
      <c r="C7" s="886"/>
      <c r="D7" s="886"/>
      <c r="E7" s="886"/>
      <c r="F7" s="886"/>
      <c r="G7" s="886"/>
      <c r="H7" s="886"/>
      <c r="I7" s="886"/>
      <c r="J7" s="886"/>
      <c r="K7" s="886"/>
      <c r="L7" s="886"/>
    </row>
    <row r="8" spans="2:12" s="422" customFormat="1" ht="4.5" customHeight="1">
      <c r="B8" s="886"/>
      <c r="C8" s="886"/>
      <c r="D8" s="886"/>
      <c r="E8" s="886"/>
      <c r="F8" s="886"/>
      <c r="G8" s="886"/>
      <c r="H8" s="886"/>
      <c r="I8" s="886"/>
      <c r="J8" s="886"/>
      <c r="K8" s="886"/>
      <c r="L8" s="886"/>
    </row>
    <row r="9" spans="1:12" s="176" customFormat="1" ht="9.75" customHeight="1">
      <c r="A9" s="422"/>
      <c r="B9" s="496"/>
      <c r="C9" s="497"/>
      <c r="D9" s="497"/>
      <c r="E9" s="497"/>
      <c r="F9" s="497"/>
      <c r="G9" s="497"/>
      <c r="H9" s="498"/>
      <c r="I9" s="498"/>
      <c r="J9" s="498"/>
      <c r="K9" s="498"/>
      <c r="L9" s="498"/>
    </row>
    <row r="10" spans="2:12" s="176" customFormat="1" ht="14.25">
      <c r="B10" s="496" t="s">
        <v>551</v>
      </c>
      <c r="C10" s="881" t="s">
        <v>143</v>
      </c>
      <c r="D10" s="881"/>
      <c r="E10" s="881"/>
      <c r="F10" s="881"/>
      <c r="G10" s="883"/>
      <c r="H10" s="499" t="s">
        <v>141</v>
      </c>
      <c r="I10" s="499">
        <f>IF(COMANDOBLOQUEADO!$U$6="1º TRIMESTRE",LOGICA!AK80,IF(COMANDOBLOQUEADO!$U$6="2º TRIMESTRE",LOGICA!AK81,IF(COMANDOBLOQUEADO!$U$6="3º TRIMESTRE",LOGICA!AK82,LOGICA!AK83)))</f>
      </c>
      <c r="K10" s="499" t="s">
        <v>142</v>
      </c>
      <c r="L10" s="499" t="str">
        <f>IF(I10="X","","X")</f>
        <v>X</v>
      </c>
    </row>
    <row r="11" spans="2:17" s="176" customFormat="1" ht="39.75" customHeight="1">
      <c r="B11" s="496"/>
      <c r="C11" s="882">
        <f>IF(I10="X","Mensagem! O valor da liquidação deve ser no valor máximo do empenho. Se não proceder à correção do Quadro 02-A, o resumo consolidado sairá em branco.","")</f>
      </c>
      <c r="D11" s="887"/>
      <c r="E11" s="887"/>
      <c r="F11" s="887"/>
      <c r="G11" s="887"/>
      <c r="H11" s="887"/>
      <c r="I11" s="887"/>
      <c r="J11" s="887"/>
      <c r="K11" s="887"/>
      <c r="L11" s="887"/>
      <c r="M11" s="206"/>
      <c r="N11" s="206"/>
      <c r="O11" s="206"/>
      <c r="P11" s="206"/>
      <c r="Q11" s="206"/>
    </row>
    <row r="12" spans="2:12" s="176" customFormat="1" ht="14.25">
      <c r="B12" s="496" t="s">
        <v>552</v>
      </c>
      <c r="C12" s="881" t="s">
        <v>144</v>
      </c>
      <c r="D12" s="881"/>
      <c r="E12" s="881"/>
      <c r="F12" s="881"/>
      <c r="G12" s="883"/>
      <c r="H12" s="499" t="s">
        <v>141</v>
      </c>
      <c r="I12" s="499">
        <f>IF(COMANDOBLOQUEADO!$U$6="1º TRIMESTRE",LOGICA!AK86,IF(COMANDOBLOQUEADO!$U$6="2º TRIMESTRE",LOGICA!AK87,IF(COMANDOBLOQUEADO!$U$6="3º TRIMESTRE",LOGICA!AK88,LOGICA!AK89)))</f>
      </c>
      <c r="K12" s="499" t="s">
        <v>142</v>
      </c>
      <c r="L12" s="499" t="str">
        <f>IF(I12="X","","X")</f>
        <v>X</v>
      </c>
    </row>
    <row r="13" spans="2:16" s="176" customFormat="1" ht="39.75" customHeight="1">
      <c r="B13" s="496"/>
      <c r="C13" s="882">
        <f>IF(I12="X","Mensagem! O valor da liquidação está limitado ao valor do empenho. Se não proceder à correção do Quadro 02-B, o resumo consolidado sairá em branco.","")</f>
      </c>
      <c r="D13" s="887"/>
      <c r="E13" s="887"/>
      <c r="F13" s="887"/>
      <c r="G13" s="887"/>
      <c r="H13" s="887"/>
      <c r="I13" s="887"/>
      <c r="J13" s="887"/>
      <c r="K13" s="887"/>
      <c r="L13" s="887"/>
      <c r="M13" s="422"/>
      <c r="N13" s="422"/>
      <c r="O13" s="422"/>
      <c r="P13" s="422"/>
    </row>
    <row r="14" spans="2:12" s="176" customFormat="1" ht="14.25">
      <c r="B14" s="496" t="s">
        <v>134</v>
      </c>
      <c r="C14" s="881" t="s">
        <v>145</v>
      </c>
      <c r="D14" s="881"/>
      <c r="E14" s="881"/>
      <c r="F14" s="881"/>
      <c r="G14" s="883"/>
      <c r="H14" s="499" t="s">
        <v>141</v>
      </c>
      <c r="I14" s="499">
        <f>IF(ADMERFUND!I54&gt;ADMERFUND!H54,"X","")</f>
      </c>
      <c r="K14" s="499" t="s">
        <v>142</v>
      </c>
      <c r="L14" s="499" t="str">
        <f>IF(I14="X","","X")</f>
        <v>X</v>
      </c>
    </row>
    <row r="15" spans="2:16" s="176" customFormat="1" ht="39.75" customHeight="1">
      <c r="B15" s="496"/>
      <c r="C15" s="882">
        <f>IF(I14="X","Mensagem! O valor do pagamento está limitado ao valor da liquidação. Se não proceder à correção do Quadro 02-A, o resumo consolidado sairá em branco.","")</f>
      </c>
      <c r="D15" s="887"/>
      <c r="E15" s="887"/>
      <c r="F15" s="887"/>
      <c r="G15" s="887"/>
      <c r="H15" s="887"/>
      <c r="I15" s="887"/>
      <c r="J15" s="887"/>
      <c r="K15" s="887"/>
      <c r="L15" s="887"/>
      <c r="M15" s="422"/>
      <c r="N15" s="422"/>
      <c r="O15" s="422"/>
      <c r="P15" s="422"/>
    </row>
    <row r="16" spans="2:12" s="176" customFormat="1" ht="14.25">
      <c r="B16" s="496" t="s">
        <v>135</v>
      </c>
      <c r="C16" s="881" t="s">
        <v>146</v>
      </c>
      <c r="D16" s="881"/>
      <c r="E16" s="881"/>
      <c r="F16" s="881"/>
      <c r="G16" s="883"/>
      <c r="H16" s="499" t="s">
        <v>141</v>
      </c>
      <c r="I16" s="499">
        <f>IF(INJAESP!I58&gt;INJAESP!H58,"X","")</f>
      </c>
      <c r="K16" s="499" t="s">
        <v>142</v>
      </c>
      <c r="L16" s="499" t="str">
        <f>IF(I16="X","","X")</f>
        <v>X</v>
      </c>
    </row>
    <row r="17" spans="2:16" s="176" customFormat="1" ht="39.75" customHeight="1">
      <c r="B17" s="496"/>
      <c r="C17" s="882">
        <f>IF(I16="X","Mensagem! O valor do pagamento está limitado ao valor da liquidação. Se não proceder à correção do Quadro 02-B, o resumo consolidado sairá em branco.","")</f>
      </c>
      <c r="D17" s="887"/>
      <c r="E17" s="887"/>
      <c r="F17" s="887"/>
      <c r="G17" s="887"/>
      <c r="H17" s="887"/>
      <c r="I17" s="887"/>
      <c r="J17" s="887"/>
      <c r="K17" s="887"/>
      <c r="L17" s="887"/>
      <c r="M17" s="422"/>
      <c r="N17" s="422"/>
      <c r="O17" s="422"/>
      <c r="P17" s="422"/>
    </row>
    <row r="18" spans="2:13" s="176" customFormat="1" ht="14.25">
      <c r="B18" s="496" t="s">
        <v>136</v>
      </c>
      <c r="C18" s="888" t="s">
        <v>86</v>
      </c>
      <c r="D18" s="888"/>
      <c r="E18" s="888"/>
      <c r="F18" s="888"/>
      <c r="G18" s="889"/>
      <c r="H18" s="499" t="s">
        <v>141</v>
      </c>
      <c r="I18" s="499">
        <f>IF(COMANDOBLOQUEADO!$U$6="1º TRIMESTRE",LOGICA!AK92,IF(COMANDOBLOQUEADO!$U$6="2º TRIMESTRE",LOGICA!AK93,IF(COMANDOBLOQUEADO!$U$6="3º TRIMESTRE",LOGICA!AK94,LOGICA!AK95)))</f>
      </c>
      <c r="K18" s="499" t="s">
        <v>142</v>
      </c>
      <c r="L18" s="499" t="str">
        <f>IF(I18="X","","X")</f>
        <v>X</v>
      </c>
      <c r="M18" s="467"/>
    </row>
    <row r="19" spans="2:7" s="176" customFormat="1" ht="14.25">
      <c r="B19" s="496"/>
      <c r="C19" s="888"/>
      <c r="D19" s="888"/>
      <c r="E19" s="888"/>
      <c r="F19" s="888"/>
      <c r="G19" s="888"/>
    </row>
    <row r="20" spans="2:12" s="176" customFormat="1" ht="39.75" customHeight="1">
      <c r="B20" s="496"/>
      <c r="C20" s="882">
        <f>IF(I18="X","Mensagem! Não é possível realizar despesas em valor superior ao recebido. Não procedendo à correção, o resumo consolidado sairá em branco.","")</f>
      </c>
      <c r="D20" s="887"/>
      <c r="E20" s="887"/>
      <c r="F20" s="887"/>
      <c r="G20" s="887"/>
      <c r="H20" s="887"/>
      <c r="I20" s="887"/>
      <c r="J20" s="887"/>
      <c r="K20" s="887"/>
      <c r="L20" s="887"/>
    </row>
    <row r="21" spans="2:12" s="176" customFormat="1" ht="14.25">
      <c r="B21" s="496" t="s">
        <v>137</v>
      </c>
      <c r="C21" s="890" t="s">
        <v>99</v>
      </c>
      <c r="D21" s="890"/>
      <c r="E21" s="890"/>
      <c r="F21" s="890"/>
      <c r="G21" s="891"/>
      <c r="H21" s="499" t="s">
        <v>141</v>
      </c>
      <c r="I21" s="499">
        <f>IF(COMANDOBLOQUEADO!$U$6="1º TRIMESTRE",LOGICA!AK98,IF(COMANDOBLOQUEADO!$U$6="2º TRIMESTRE",LOGICA!AK99,IF(COMANDOBLOQUEADO!$U$6="3º TRIMESTRE",LOGICA!AK100,LOGICA!AK101)))</f>
      </c>
      <c r="K21" s="499" t="s">
        <v>142</v>
      </c>
      <c r="L21" s="499" t="str">
        <f>IF(I21="X","","X")</f>
        <v>X</v>
      </c>
    </row>
    <row r="22" spans="2:12" s="176" customFormat="1" ht="39.75" customHeight="1">
      <c r="B22" s="496"/>
      <c r="C22" s="882">
        <f>IF(I21="X","Mensagem! O valor da liquidação está limitado ao valor do empenho. Não procedendo à correção do Quadro 02-C, o resumo consolidado sairá em branco.","")</f>
      </c>
      <c r="D22" s="887"/>
      <c r="E22" s="887"/>
      <c r="F22" s="887"/>
      <c r="G22" s="887"/>
      <c r="H22" s="887"/>
      <c r="I22" s="887"/>
      <c r="J22" s="887"/>
      <c r="K22" s="887"/>
      <c r="L22" s="887"/>
    </row>
    <row r="23" spans="2:12" s="176" customFormat="1" ht="14.25">
      <c r="B23" s="496" t="s">
        <v>85</v>
      </c>
      <c r="C23" s="890" t="s">
        <v>100</v>
      </c>
      <c r="D23" s="890"/>
      <c r="E23" s="890"/>
      <c r="F23" s="890"/>
      <c r="G23" s="891"/>
      <c r="H23" s="499" t="s">
        <v>141</v>
      </c>
      <c r="I23" s="499">
        <f>IF(FUNDEB!I60&gt;FUNDEB!H60,"X","")</f>
      </c>
      <c r="K23" s="499" t="s">
        <v>142</v>
      </c>
      <c r="L23" s="499" t="str">
        <f>IF(I23="X","","X")</f>
        <v>X</v>
      </c>
    </row>
    <row r="24" spans="2:16" s="176" customFormat="1" ht="39.75" customHeight="1">
      <c r="B24" s="496"/>
      <c r="C24" s="882">
        <f>IF(I23="X","Mensagem! O valor do pagamento está limitado ao valor da liquidação. Não procedendo à correção do Quadro 02-C, o resumo consolidado sairá em branco.","")</f>
      </c>
      <c r="D24" s="887"/>
      <c r="E24" s="887"/>
      <c r="F24" s="887"/>
      <c r="G24" s="887"/>
      <c r="H24" s="887"/>
      <c r="I24" s="887"/>
      <c r="J24" s="887"/>
      <c r="K24" s="887"/>
      <c r="L24" s="887"/>
      <c r="M24" s="422"/>
      <c r="N24" s="422"/>
      <c r="O24" s="422"/>
      <c r="P24" s="422"/>
    </row>
    <row r="25" spans="2:12" s="176" customFormat="1" ht="14.25" customHeight="1">
      <c r="B25" s="496" t="s">
        <v>138</v>
      </c>
      <c r="C25" s="888" t="s">
        <v>101</v>
      </c>
      <c r="D25" s="888"/>
      <c r="E25" s="888"/>
      <c r="F25" s="888"/>
      <c r="G25" s="892"/>
      <c r="H25" s="499" t="s">
        <v>141</v>
      </c>
      <c r="I25" s="499">
        <f>IF(COMANDOBLOQUEADO!$U$6="1º TRIMESTRE",LOGICA!AK104,IF(COMANDOBLOQUEADO!$U$6="2º TRIMESTRE",LOGICA!AK105,IF(COMANDOBLOQUEADO!$U$6="3º TRIMESTRE",LOGICA!AK106,LOGICA!AK107)))</f>
      </c>
      <c r="K25" s="499" t="s">
        <v>142</v>
      </c>
      <c r="L25" s="499" t="str">
        <f>IF(I25="X","","X")</f>
        <v>X</v>
      </c>
    </row>
    <row r="26" spans="2:16" s="176" customFormat="1" ht="39.75" customHeight="1">
      <c r="B26" s="496"/>
      <c r="C26" s="882">
        <f>IF(I25="X","Mensagem! O valor da liquidação está limitado ao valor do empenho. Não procedendo à correção do Quadro 02-D, o resumo consolidado sairá em branco.","")</f>
      </c>
      <c r="D26" s="887"/>
      <c r="E26" s="887"/>
      <c r="F26" s="887"/>
      <c r="G26" s="887"/>
      <c r="H26" s="887"/>
      <c r="I26" s="887"/>
      <c r="J26" s="887"/>
      <c r="K26" s="887"/>
      <c r="L26" s="887"/>
      <c r="M26" s="422"/>
      <c r="N26" s="422"/>
      <c r="O26" s="422"/>
      <c r="P26" s="422"/>
    </row>
    <row r="27" spans="2:16" s="176" customFormat="1" ht="14.25" customHeight="1">
      <c r="B27" s="496" t="s">
        <v>139</v>
      </c>
      <c r="C27" s="890" t="s">
        <v>103</v>
      </c>
      <c r="D27" s="890"/>
      <c r="E27" s="890"/>
      <c r="F27" s="890"/>
      <c r="G27" s="891"/>
      <c r="H27" s="499" t="s">
        <v>141</v>
      </c>
      <c r="I27" s="499">
        <f>IF((GLOSAS!I34+GLOSAS!I43+GLOSAS!I52)&gt;(GLOSAS!H34+GLOSAS!H43+GLOSAS!H52),"X","")</f>
      </c>
      <c r="K27" s="499" t="s">
        <v>142</v>
      </c>
      <c r="L27" s="499" t="str">
        <f>IF(I27="X","","X")</f>
        <v>X</v>
      </c>
      <c r="M27" s="422"/>
      <c r="N27" s="422"/>
      <c r="O27" s="422"/>
      <c r="P27" s="422"/>
    </row>
    <row r="28" spans="2:16" s="176" customFormat="1" ht="39.75" customHeight="1">
      <c r="B28" s="496"/>
      <c r="C28" s="882">
        <f>IF(I27="X","Mensagem! O valor do pagamento está limitado ao valor da liquidação. Não procedendo à correção do Quadro 02-D, o resumo consolidado sairá em branco.","")</f>
      </c>
      <c r="D28" s="887"/>
      <c r="E28" s="887"/>
      <c r="F28" s="887"/>
      <c r="G28" s="887"/>
      <c r="H28" s="887"/>
      <c r="I28" s="887"/>
      <c r="J28" s="887"/>
      <c r="K28" s="887"/>
      <c r="L28" s="887"/>
      <c r="M28" s="422"/>
      <c r="N28" s="422"/>
      <c r="O28" s="422"/>
      <c r="P28" s="422"/>
    </row>
    <row r="29" spans="2:16" s="176" customFormat="1" ht="14.25" customHeight="1">
      <c r="B29" s="496" t="s">
        <v>140</v>
      </c>
      <c r="C29" s="888" t="s">
        <v>93</v>
      </c>
      <c r="D29" s="888"/>
      <c r="E29" s="888"/>
      <c r="F29" s="888"/>
      <c r="G29" s="888"/>
      <c r="H29" s="499" t="s">
        <v>141</v>
      </c>
      <c r="I29" s="499">
        <f>IF(COMANDOBLOQUEADO!$U$6="1º TRIMESTRE",LOGICA!AK110,IF(COMANDOBLOQUEADO!$U$6="2º TRIMESTRE",LOGICA!AK111,IF(COMANDOBLOQUEADO!$U$6="3º TRIMESTRE",LOGICA!AK112,LOGICA!AK113)))</f>
      </c>
      <c r="K29" s="499" t="s">
        <v>142</v>
      </c>
      <c r="L29" s="499" t="str">
        <f>IF(I29="X","","X")</f>
        <v>X</v>
      </c>
      <c r="M29" s="422"/>
      <c r="N29" s="422"/>
      <c r="O29" s="422"/>
      <c r="P29" s="422"/>
    </row>
    <row r="30" spans="2:12" s="176" customFormat="1" ht="14.25" customHeight="1">
      <c r="B30" s="496"/>
      <c r="C30" s="888"/>
      <c r="D30" s="888"/>
      <c r="E30" s="888"/>
      <c r="F30" s="888"/>
      <c r="G30" s="888"/>
      <c r="H30" s="497"/>
      <c r="I30" s="497"/>
      <c r="J30" s="497"/>
      <c r="K30" s="498"/>
      <c r="L30" s="498"/>
    </row>
    <row r="31" spans="2:16" s="176" customFormat="1" ht="39.75" customHeight="1">
      <c r="B31" s="496"/>
      <c r="C31" s="882">
        <f>IF(I29="X","Mensagem! Não é possível deduzir despesas com recursos adicionais não reconhecidas nos Quadros 02-A e 02-B. Não procedendo à correção, o resumo consolidado sairá em branco.","")</f>
      </c>
      <c r="D31" s="887"/>
      <c r="E31" s="887"/>
      <c r="F31" s="887"/>
      <c r="G31" s="887"/>
      <c r="H31" s="887"/>
      <c r="I31" s="887"/>
      <c r="J31" s="887"/>
      <c r="K31" s="887"/>
      <c r="L31" s="887"/>
      <c r="M31" s="422"/>
      <c r="N31" s="422"/>
      <c r="O31" s="422"/>
      <c r="P31" s="422"/>
    </row>
    <row r="32" spans="2:16" s="176" customFormat="1" ht="14.25" customHeight="1">
      <c r="B32" s="496" t="s">
        <v>82</v>
      </c>
      <c r="C32" s="888" t="s">
        <v>94</v>
      </c>
      <c r="D32" s="888"/>
      <c r="E32" s="888"/>
      <c r="F32" s="888"/>
      <c r="G32" s="888"/>
      <c r="H32" s="499" t="s">
        <v>141</v>
      </c>
      <c r="I32" s="499">
        <f>IF((GLOSAS!H34+GLOSAS!H43+GLOSAS!H52)&gt;(ADMERFUND!H54+INJAESP!H58),"X","")</f>
      </c>
      <c r="K32" s="499" t="s">
        <v>142</v>
      </c>
      <c r="L32" s="499" t="str">
        <f>IF(I32="X","","X")</f>
        <v>X</v>
      </c>
      <c r="M32" s="422"/>
      <c r="N32" s="422"/>
      <c r="O32" s="422"/>
      <c r="P32" s="422"/>
    </row>
    <row r="33" spans="2:16" s="176" customFormat="1" ht="14.25" customHeight="1">
      <c r="B33" s="496"/>
      <c r="C33" s="888"/>
      <c r="D33" s="888"/>
      <c r="E33" s="888"/>
      <c r="F33" s="888"/>
      <c r="G33" s="888"/>
      <c r="H33" s="497"/>
      <c r="I33" s="497"/>
      <c r="J33" s="497"/>
      <c r="K33" s="498"/>
      <c r="L33" s="498"/>
      <c r="M33" s="422"/>
      <c r="N33" s="422"/>
      <c r="O33" s="422"/>
      <c r="P33" s="422"/>
    </row>
    <row r="34" spans="2:16" s="176" customFormat="1" ht="39.75" customHeight="1">
      <c r="B34" s="496"/>
      <c r="C34" s="882">
        <f>IF(I32="X","Mensagem! Não é possível deduzir despesas liquidadas com recursos adicionais não reconhecidas nos Quadros 02-A e 02-B. Não procedendo à correção, o resumo consolidado sairá em branco.","")</f>
      </c>
      <c r="D34" s="887"/>
      <c r="E34" s="887"/>
      <c r="F34" s="887"/>
      <c r="G34" s="887"/>
      <c r="H34" s="887"/>
      <c r="I34" s="887"/>
      <c r="J34" s="887"/>
      <c r="K34" s="887"/>
      <c r="L34" s="887"/>
      <c r="M34" s="422"/>
      <c r="N34" s="422"/>
      <c r="O34" s="422"/>
      <c r="P34" s="422"/>
    </row>
    <row r="35" spans="2:12" s="176" customFormat="1" ht="14.25">
      <c r="B35" s="496" t="s">
        <v>83</v>
      </c>
      <c r="C35" s="881" t="s">
        <v>96</v>
      </c>
      <c r="D35" s="881"/>
      <c r="E35" s="881"/>
      <c r="F35" s="881"/>
      <c r="G35" s="883"/>
      <c r="H35" s="499" t="s">
        <v>141</v>
      </c>
      <c r="I35" s="499">
        <f>IF(COMANDOBLOQUEADO!$U$6="1º TRIMESTRE",LOGICA!AK191,IF(COMANDOBLOQUEADO!$U$6="2º TRIMESTRE",LOGICA!AK192,IF(COMANDOBLOQUEADO!$U$6="3º TRIMESTRE",LOGICA!AK193,LOGICA!AK194)))</f>
      </c>
      <c r="K35" s="499" t="s">
        <v>142</v>
      </c>
      <c r="L35" s="499" t="str">
        <f>IF(I35="X","","X")</f>
        <v>X</v>
      </c>
    </row>
    <row r="36" spans="2:16" s="176" customFormat="1" ht="39.75" customHeight="1">
      <c r="B36" s="496"/>
      <c r="C36" s="882">
        <f>IF(I35="X","Mensagem! Lançar os valores liquidados nos Quadros 02-A e 02-B. Se não os lançar o resumo consolidado sairá em branco.","")</f>
      </c>
      <c r="D36" s="882"/>
      <c r="E36" s="882"/>
      <c r="F36" s="882"/>
      <c r="G36" s="882"/>
      <c r="H36" s="882"/>
      <c r="I36" s="882"/>
      <c r="J36" s="882"/>
      <c r="K36" s="887"/>
      <c r="L36" s="887"/>
      <c r="M36" s="422"/>
      <c r="N36" s="422"/>
      <c r="O36" s="422"/>
      <c r="P36" s="422"/>
    </row>
    <row r="37" spans="2:12" ht="14.25">
      <c r="B37" s="496" t="s">
        <v>87</v>
      </c>
      <c r="C37" s="881" t="s">
        <v>97</v>
      </c>
      <c r="D37" s="881"/>
      <c r="E37" s="881"/>
      <c r="F37" s="881"/>
      <c r="G37" s="883"/>
      <c r="H37" s="499" t="s">
        <v>141</v>
      </c>
      <c r="I37" s="499">
        <f>IF(COMANDOBLOQUEADO!$U$6="1º TRIMESTRE",LOGICA!AK197,IF(COMANDOBLOQUEADO!$U$6="2º TRIMESTRE",LOGICA!AK198,IF(COMANDOBLOQUEADO!$U$6="3º TRIMESTRE",LOGICA!AK199,LOGICA!AK200)))</f>
      </c>
      <c r="J37" s="176"/>
      <c r="K37" s="499" t="s">
        <v>142</v>
      </c>
      <c r="L37" s="499" t="str">
        <f>IF(I37="X","","X")</f>
        <v>X</v>
      </c>
    </row>
    <row r="38" spans="2:12" ht="39.75" customHeight="1">
      <c r="B38" s="496"/>
      <c r="C38" s="882">
        <f>IF(I37="X","Mensagem! Lançar os valores pagos nos Quadros 02-A e 02-B. Se não os lançar o resumo consolidado sairá em branco.","")</f>
      </c>
      <c r="D38" s="882"/>
      <c r="E38" s="882"/>
      <c r="F38" s="882"/>
      <c r="G38" s="882"/>
      <c r="H38" s="882"/>
      <c r="I38" s="882"/>
      <c r="J38" s="882"/>
      <c r="K38" s="887"/>
      <c r="L38" s="887"/>
    </row>
    <row r="39" spans="2:13" ht="14.25">
      <c r="B39" s="496" t="s">
        <v>88</v>
      </c>
      <c r="C39" s="881" t="s">
        <v>89</v>
      </c>
      <c r="D39" s="881"/>
      <c r="E39" s="881"/>
      <c r="F39" s="881"/>
      <c r="G39" s="883"/>
      <c r="H39" s="499" t="s">
        <v>141</v>
      </c>
      <c r="I39" s="499">
        <f>IF(COMANDOBLOQUEADO!$U$6="1º TRIMESTRE",LOGICA!AK116,IF(COMANDOBLOQUEADO!$U$6="2º TRIMESTRE",LOGICA!AK117,IF(COMANDOBLOQUEADO!$U$6="3º TRIMESTRE",LOGICA!AK118,LOGICA!AK119)))</f>
      </c>
      <c r="J39" s="176"/>
      <c r="K39" s="499" t="s">
        <v>142</v>
      </c>
      <c r="L39" s="499" t="str">
        <f>IF(I39="X","","X")</f>
        <v>X</v>
      </c>
      <c r="M39" s="206"/>
    </row>
    <row r="40" spans="2:13" ht="45" customHeight="1">
      <c r="B40" s="496"/>
      <c r="C40" s="882">
        <f>IF(I39="X","Mensagem! Tem absoluta certeza de que não utilizou recursos adicionais para realização das despesas do ensino lançadas nas funcionais 12.122, 12.361, 12.365, 12.366 e 12.367? O completo preenchimento dos dados é fundamental para a correta apuração.","")</f>
      </c>
      <c r="D40" s="882"/>
      <c r="E40" s="882"/>
      <c r="F40" s="882"/>
      <c r="G40" s="882"/>
      <c r="H40" s="882"/>
      <c r="I40" s="882"/>
      <c r="J40" s="882"/>
      <c r="K40" s="882"/>
      <c r="L40" s="882"/>
      <c r="M40" s="497"/>
    </row>
    <row r="41" spans="2:12" ht="14.25">
      <c r="B41" s="496" t="s">
        <v>92</v>
      </c>
      <c r="C41" s="881" t="s">
        <v>90</v>
      </c>
      <c r="D41" s="881"/>
      <c r="E41" s="881"/>
      <c r="F41" s="881"/>
      <c r="G41" s="883"/>
      <c r="H41" s="499" t="s">
        <v>141</v>
      </c>
      <c r="I41" s="499">
        <f>IF(COMANDOBLOQUEADO!$U$6="1º TRIMESTRE",LOGICA!AK122,IF(COMANDOBLOQUEADO!$U$6="2º TRIMESTRE",LOGICA!AK123,IF(COMANDOBLOQUEADO!$U$6="3º TRIMESTRE",LOGICA!AK124,LOGICA!AK125)))</f>
      </c>
      <c r="J41" s="176"/>
      <c r="K41" s="499" t="s">
        <v>142</v>
      </c>
      <c r="L41" s="499" t="str">
        <f>IF(I41="X","","X")</f>
        <v>X</v>
      </c>
    </row>
    <row r="42" spans="2:12" ht="39.75" customHeight="1">
      <c r="B42" s="496"/>
      <c r="C42" s="882">
        <f>IF(I41="X","Mensagem! Tem absoluta certeza de que não houve arrecadação, nem depósitos a realizar no período? Caso contrário, estar-se-á descumprindo o artigo 69, § 5º da Lei 9.394/96.","")</f>
      </c>
      <c r="D42" s="887"/>
      <c r="E42" s="887"/>
      <c r="F42" s="887"/>
      <c r="G42" s="887"/>
      <c r="H42" s="887"/>
      <c r="I42" s="887"/>
      <c r="J42" s="887"/>
      <c r="K42" s="887"/>
      <c r="L42" s="887"/>
    </row>
    <row r="43" spans="2:12" ht="14.25">
      <c r="B43" s="496"/>
      <c r="C43" s="881"/>
      <c r="D43" s="881"/>
      <c r="E43" s="881"/>
      <c r="F43" s="881"/>
      <c r="G43" s="845"/>
      <c r="H43" s="169"/>
      <c r="I43" s="169"/>
      <c r="J43" s="64"/>
      <c r="K43" s="169"/>
      <c r="L43" s="169"/>
    </row>
    <row r="44" spans="2:12" ht="39.75" customHeight="1">
      <c r="B44" s="500"/>
      <c r="C44" s="882"/>
      <c r="D44" s="882"/>
      <c r="E44" s="882"/>
      <c r="F44" s="882"/>
      <c r="G44" s="882"/>
      <c r="H44" s="882"/>
      <c r="I44" s="882"/>
      <c r="J44" s="882"/>
      <c r="K44" s="882"/>
      <c r="L44" s="882"/>
    </row>
    <row r="45" ht="12.75">
      <c r="B45" s="501"/>
    </row>
    <row r="46" ht="12.75">
      <c r="B46" s="501"/>
    </row>
    <row r="47" ht="12.75">
      <c r="B47" s="501"/>
    </row>
  </sheetData>
  <sheetProtection password="DEF0" sheet="1" objects="1" scenarios="1"/>
  <mergeCells count="33">
    <mergeCell ref="C31:L31"/>
    <mergeCell ref="C21:G21"/>
    <mergeCell ref="C22:L22"/>
    <mergeCell ref="C23:G23"/>
    <mergeCell ref="C25:G25"/>
    <mergeCell ref="C24:L24"/>
    <mergeCell ref="C38:L38"/>
    <mergeCell ref="C35:G35"/>
    <mergeCell ref="C29:G30"/>
    <mergeCell ref="C26:L26"/>
    <mergeCell ref="C27:G27"/>
    <mergeCell ref="C28:L28"/>
    <mergeCell ref="C32:G33"/>
    <mergeCell ref="C34:L34"/>
    <mergeCell ref="C37:G37"/>
    <mergeCell ref="C36:L36"/>
    <mergeCell ref="C11:L11"/>
    <mergeCell ref="C20:L20"/>
    <mergeCell ref="C17:L17"/>
    <mergeCell ref="C15:L15"/>
    <mergeCell ref="C13:L13"/>
    <mergeCell ref="C12:G12"/>
    <mergeCell ref="C18:G19"/>
    <mergeCell ref="C43:G43"/>
    <mergeCell ref="C44:L44"/>
    <mergeCell ref="C10:G10"/>
    <mergeCell ref="B6:L8"/>
    <mergeCell ref="C14:G14"/>
    <mergeCell ref="C16:G16"/>
    <mergeCell ref="C39:G39"/>
    <mergeCell ref="C40:L40"/>
    <mergeCell ref="C41:G41"/>
    <mergeCell ref="C42:L42"/>
  </mergeCells>
  <printOptions/>
  <pageMargins left="0.8661417322834646" right="0.2362204724409449" top="0.5118110236220472" bottom="0.2362204724409449" header="0.2755905511811024" footer="0.2755905511811024"/>
  <pageSetup horizontalDpi="360" verticalDpi="360" orientation="portrait" paperSize="9" scale="80" r:id="rId2"/>
  <legacyDrawing r:id="rId1"/>
</worksheet>
</file>

<file path=xl/worksheets/sheet19.xml><?xml version="1.0" encoding="utf-8"?>
<worksheet xmlns="http://schemas.openxmlformats.org/spreadsheetml/2006/main" xmlns:r="http://schemas.openxmlformats.org/officeDocument/2006/relationships">
  <sheetPr codeName="Plan3"/>
  <dimension ref="AA1:AM206"/>
  <sheetViews>
    <sheetView showFormulas="1" zoomScalePageLayoutView="0" workbookViewId="0" topLeftCell="A195">
      <selection activeCell="A195" sqref="A1:A16384"/>
    </sheetView>
  </sheetViews>
  <sheetFormatPr defaultColWidth="9.140625" defaultRowHeight="12.75"/>
  <cols>
    <col min="33" max="34" width="10.7109375" style="0" customWidth="1"/>
    <col min="35" max="36" width="10.7109375" style="0" hidden="1" customWidth="1"/>
    <col min="37" max="39" width="52.8515625" style="0" hidden="1" customWidth="1"/>
    <col min="40" max="40" width="5.28125" style="0" hidden="1" customWidth="1"/>
    <col min="41" max="41" width="5.8515625" style="0" customWidth="1"/>
  </cols>
  <sheetData>
    <row r="1" spans="27:34" ht="12.75">
      <c r="AA1" s="23"/>
      <c r="AB1" s="23"/>
      <c r="AC1" s="23"/>
      <c r="AD1" s="23"/>
      <c r="AE1" s="23"/>
      <c r="AF1" s="23"/>
      <c r="AG1" s="23"/>
      <c r="AH1" s="23"/>
    </row>
    <row r="2" spans="27:39" s="19" customFormat="1" ht="12.75">
      <c r="AA2" s="283"/>
      <c r="AB2" s="893"/>
      <c r="AC2" s="893"/>
      <c r="AD2" s="893"/>
      <c r="AE2" s="893"/>
      <c r="AF2" s="893"/>
      <c r="AG2" s="283"/>
      <c r="AH2" s="283"/>
      <c r="AK2" t="s">
        <v>1118</v>
      </c>
      <c r="AL2"/>
      <c r="AM2"/>
    </row>
    <row r="3" spans="27:37" ht="12.75">
      <c r="AA3" s="23"/>
      <c r="AB3" s="21"/>
      <c r="AC3" s="21"/>
      <c r="AD3" s="21"/>
      <c r="AE3" s="21"/>
      <c r="AF3" s="21"/>
      <c r="AG3" s="21"/>
      <c r="AH3" s="21"/>
      <c r="AK3">
        <f>IF(COMANDOBLOQUEADO!$U$6="1º TRIMESTRE",RECEITAS!E16,IF(COMANDOBLOQUEADO!$U$6="2º TRIMESTRE",RECEITAS!F16,IF(COMANDOBLOQUEADO!$U$6="3º TRIMESTRE",RECEITAS!G16,RECEITAS!H16)))</f>
        <v>1807937.01</v>
      </c>
    </row>
    <row r="4" spans="27:37" ht="12.75">
      <c r="AA4" s="23"/>
      <c r="AB4" s="23"/>
      <c r="AC4" s="23"/>
      <c r="AD4" s="23"/>
      <c r="AE4" s="23"/>
      <c r="AF4" s="23"/>
      <c r="AG4" s="23"/>
      <c r="AH4" s="23"/>
      <c r="AK4">
        <f>IF(COMANDOBLOQUEADO!$U$6="1º TRIMESTRE",RECEITAS!E22,IF(COMANDOBLOQUEADO!$U$6="2º TRIMESTRE",RECEITAS!F22,IF(COMANDOBLOQUEADO!$U$6="3º TRIMESTRE",RECEITAS!G22,RECEITAS!H22)))</f>
        <v>7096926.949999999</v>
      </c>
    </row>
    <row r="5" spans="27:37" ht="12.75">
      <c r="AA5" s="23"/>
      <c r="AB5" s="23"/>
      <c r="AC5" s="23"/>
      <c r="AD5" s="23"/>
      <c r="AE5" s="23"/>
      <c r="AF5" s="23"/>
      <c r="AG5" s="23"/>
      <c r="AH5" s="23"/>
      <c r="AK5">
        <f>IF(COMANDOBLOQUEADO!$U$6="1º TRIMESTRE",RECEITAS!E28,IF(COMANDOBLOQUEADO!$U$6="2º TRIMESTRE",RECEITAS!F28,IF(COMANDOBLOQUEADO!$U$6="3º TRIMESTRE",RECEITAS!G28,RECEITAS!H28)))</f>
        <v>5538496.9799999995</v>
      </c>
    </row>
    <row r="6" spans="27:34" ht="12.75">
      <c r="AA6" s="414"/>
      <c r="AB6" s="285"/>
      <c r="AC6" s="23"/>
      <c r="AD6" s="23"/>
      <c r="AE6" s="23"/>
      <c r="AF6" s="23"/>
      <c r="AG6" s="23"/>
      <c r="AH6" s="23"/>
    </row>
    <row r="7" spans="27:37" ht="12.75">
      <c r="AA7" s="23"/>
      <c r="AB7" s="23"/>
      <c r="AC7" s="23"/>
      <c r="AD7" s="23"/>
      <c r="AE7" s="23"/>
      <c r="AF7" s="23"/>
      <c r="AG7" s="23"/>
      <c r="AH7" s="23"/>
      <c r="AK7" t="s">
        <v>1119</v>
      </c>
    </row>
    <row r="8" spans="27:37" ht="12.75">
      <c r="AA8" s="23"/>
      <c r="AB8" s="23"/>
      <c r="AC8" s="23"/>
      <c r="AD8" s="23"/>
      <c r="AE8" s="23"/>
      <c r="AF8" s="23"/>
      <c r="AG8" s="23"/>
      <c r="AH8" s="23"/>
      <c r="AK8">
        <f>IF(COMANDOBLOQUEADO!$U$6="1º TRIMESTRE",RECEITAS!E41,IF(COMANDOBLOQUEADO!$U$6="2º TRIMESTRE",RECEITAS!F41,IF(COMANDOBLOQUEADO!$U$6="3º TRIMESTRE",RECEITAS!G41,RECEITAS!H41)))</f>
        <v>2467038.3000000003</v>
      </c>
    </row>
    <row r="9" spans="27:37" ht="12.75">
      <c r="AA9" s="23"/>
      <c r="AB9" s="23"/>
      <c r="AC9" s="23"/>
      <c r="AD9" s="23"/>
      <c r="AE9" s="23"/>
      <c r="AF9" s="23"/>
      <c r="AG9" s="23"/>
      <c r="AH9" s="23"/>
      <c r="AK9" t="s">
        <v>1120</v>
      </c>
    </row>
    <row r="10" spans="27:37" ht="12.75">
      <c r="AA10" s="283"/>
      <c r="AB10" s="283"/>
      <c r="AC10" s="283"/>
      <c r="AD10" s="283"/>
      <c r="AE10" s="283"/>
      <c r="AF10" s="283"/>
      <c r="AG10" s="283"/>
      <c r="AH10" s="283"/>
      <c r="AK10">
        <f>IF(COMANDOBLOQUEADO!$U$6="1º TRIMESTRE",RECEITAS!E45,IF(COMANDOBLOQUEADO!$U$6="2º TRIMESTRE",RECEITAS!F45,IF(COMANDOBLOQUEADO!$U$6="3º TRIMESTRE",RECEITAS!G45,RECEITAS!H45)))</f>
        <v>6242462.49</v>
      </c>
    </row>
    <row r="11" spans="27:37" ht="12.75">
      <c r="AA11" s="23"/>
      <c r="AB11" s="23"/>
      <c r="AC11" s="23"/>
      <c r="AD11" s="23"/>
      <c r="AE11" s="23"/>
      <c r="AF11" s="23"/>
      <c r="AG11" s="23"/>
      <c r="AH11" s="23"/>
      <c r="AK11" t="s">
        <v>1121</v>
      </c>
    </row>
    <row r="12" spans="27:37" s="19" customFormat="1" ht="12.75">
      <c r="AA12" s="283"/>
      <c r="AB12" s="893"/>
      <c r="AC12" s="893"/>
      <c r="AD12" s="893"/>
      <c r="AE12" s="893"/>
      <c r="AF12" s="893"/>
      <c r="AG12" s="893"/>
      <c r="AH12" s="283"/>
      <c r="AK12">
        <f>IF(COMANDOBLOQUEADO!$U$6="1º TRIMESTRE",ADICIONAIS!E43,IF(COMANDOBLOQUEADO!$U$6="2º TRIMESTRE",ADICIONAIS!F43,IF(COMANDOBLOQUEADO!$U$6="3º TRIMESTRE",ADICIONAIS!G43,ADICIONAIS!H43)))</f>
        <v>54296.29</v>
      </c>
    </row>
    <row r="13" spans="27:37" ht="12.75">
      <c r="AA13" s="23"/>
      <c r="AB13" s="23"/>
      <c r="AC13" s="21"/>
      <c r="AD13" s="21"/>
      <c r="AE13" s="21"/>
      <c r="AF13" s="21"/>
      <c r="AG13" s="21"/>
      <c r="AH13" s="21"/>
      <c r="AK13">
        <f>IF(COMANDOBLOQUEADO!$U$6="1º TRIMESTRE",ADICIONAIS!E26,IF(COMANDOBLOQUEADO!$U$6="2º TRIMESTRE",ADICIONAIS!F26,IF(COMANDOBLOQUEADO!$U$6="3º TRIMESTRE",ADICIONAIS!G26,ADICIONAIS!H26)))</f>
        <v>1381825.19</v>
      </c>
    </row>
    <row r="14" spans="27:37" ht="12.75">
      <c r="AA14" s="23"/>
      <c r="AB14" s="23"/>
      <c r="AC14" s="23"/>
      <c r="AD14" s="23"/>
      <c r="AE14" s="23"/>
      <c r="AF14" s="23"/>
      <c r="AG14" s="23"/>
      <c r="AH14" s="23"/>
      <c r="AK14">
        <f>IF(COMANDOBLOQUEADO!$U$6="1º TRIMESTRE",ADICIONAIS!E51,IF(COMANDOBLOQUEADO!$U$6="2º TRIMESTRE",ADICIONAIS!F51,IF(COMANDOBLOQUEADO!$U$6="3º TRIMESTRE",ADICIONAIS!G51,ADICIONAIS!H51)))</f>
        <v>0</v>
      </c>
    </row>
    <row r="15" spans="27:37" ht="12.75">
      <c r="AA15" s="23"/>
      <c r="AB15" s="284"/>
      <c r="AC15" s="23"/>
      <c r="AD15" s="23"/>
      <c r="AE15" s="23"/>
      <c r="AF15" s="23"/>
      <c r="AG15" s="23"/>
      <c r="AH15" s="23"/>
      <c r="AK15" t="s">
        <v>1123</v>
      </c>
    </row>
    <row r="16" spans="27:37" ht="12.75">
      <c r="AA16" s="23"/>
      <c r="AB16" s="284"/>
      <c r="AC16" s="23"/>
      <c r="AD16" s="23"/>
      <c r="AE16" s="23"/>
      <c r="AF16" s="23"/>
      <c r="AG16" s="23"/>
      <c r="AH16" s="23"/>
      <c r="AK16" t="s">
        <v>1124</v>
      </c>
    </row>
    <row r="17" spans="27:37" ht="12.75">
      <c r="AA17" s="23"/>
      <c r="AB17" s="284"/>
      <c r="AC17" s="23"/>
      <c r="AD17" s="23"/>
      <c r="AE17" s="23"/>
      <c r="AF17" s="23"/>
      <c r="AG17" s="23"/>
      <c r="AH17" s="23"/>
      <c r="AK17">
        <f>IF(COMANDOBLOQUEADO!$U$6="1º TRIMESTRE",ADMERFUND!D26,IF(COMANDOBLOQUEADO!$U$6="2º TRIMESTRE",ADMERFUND!E26,IF(COMANDOBLOQUEADO!$U$6="3º TRIMESTRE",ADMERFUND!F26,ADMERFUND!G26)))</f>
        <v>0</v>
      </c>
    </row>
    <row r="18" spans="27:37" ht="12.75">
      <c r="AA18" s="23"/>
      <c r="AB18" s="284"/>
      <c r="AC18" s="23"/>
      <c r="AD18" s="23"/>
      <c r="AE18" s="23"/>
      <c r="AF18" s="23"/>
      <c r="AG18" s="23"/>
      <c r="AH18" s="23"/>
      <c r="AK18">
        <f>IF(COMANDOBLOQUEADO!$U$6="1º TRIMESTRE",ADMERFUND!D53,IF(COMANDOBLOQUEADO!$U$6="2º TRIMESTRE",ADMERFUND!E53,IF(COMANDOBLOQUEADO!$U$6="3º TRIMESTRE",ADMERFUND!F53,ADMERFUND!G53)))</f>
        <v>1809597.94</v>
      </c>
    </row>
    <row r="19" spans="27:37" ht="12.75">
      <c r="AA19" s="415"/>
      <c r="AB19" s="284"/>
      <c r="AC19" s="23"/>
      <c r="AD19" s="23"/>
      <c r="AE19" s="23"/>
      <c r="AF19" s="23"/>
      <c r="AG19" s="23"/>
      <c r="AH19" s="23"/>
      <c r="AK19">
        <f>IF(COMANDOBLOQUEADO!$U$6="1º TRIMESTRE",INJAESP!D27,IF(COMANDOBLOQUEADO!$U$6="2º TRIMESTRE",INJAESP!E27,IF(COMANDOBLOQUEADO!$U$6="3º TRIMESTRE",INJAESP!F27,INJAESP!G27)))</f>
        <v>618769.0299999999</v>
      </c>
    </row>
    <row r="20" spans="27:37" ht="12.75">
      <c r="AA20" s="23"/>
      <c r="AB20" s="23"/>
      <c r="AC20" s="23"/>
      <c r="AD20" s="23"/>
      <c r="AE20" s="23"/>
      <c r="AF20" s="23"/>
      <c r="AG20" s="23"/>
      <c r="AH20" s="23"/>
      <c r="AK20">
        <f>IF(COMANDOBLOQUEADO!$U$6="1º TRIMESTRE",INJAESP!D42,IF(COMANDOBLOQUEADO!$U$6="2º TRIMESTRE",INJAESP!E42,IF(COMANDOBLOQUEADO!$U$6="3º TRIMESTRE",INJAESP!F42,INJAESP!G42)))</f>
        <v>0</v>
      </c>
    </row>
    <row r="21" spans="27:37" ht="12.75">
      <c r="AA21" s="415"/>
      <c r="AB21" s="285"/>
      <c r="AC21" s="23"/>
      <c r="AD21" s="23"/>
      <c r="AE21" s="23"/>
      <c r="AF21" s="23"/>
      <c r="AG21" s="23"/>
      <c r="AH21" s="23"/>
      <c r="AK21">
        <f>IF(COMANDOBLOQUEADO!$U$6="1º TRIMESTRE",INJAESP!D57,IF(COMANDOBLOQUEADO!$U$6="2º TRIMESTRE",INJAESP!E57,IF(COMANDOBLOQUEADO!$U$6="3º TRIMESTRE",INJAESP!F57,INJAESP!G57)))</f>
        <v>0</v>
      </c>
    </row>
    <row r="22" spans="27:34" ht="12.75">
      <c r="AA22" s="415"/>
      <c r="AB22" s="285"/>
      <c r="AC22" s="23"/>
      <c r="AD22" s="23"/>
      <c r="AE22" s="23"/>
      <c r="AF22" s="23"/>
      <c r="AG22" s="23"/>
      <c r="AH22" s="23"/>
    </row>
    <row r="23" spans="27:34" ht="12.75">
      <c r="AA23" s="23"/>
      <c r="AB23" s="23"/>
      <c r="AC23" s="23"/>
      <c r="AD23" s="23"/>
      <c r="AE23" s="23"/>
      <c r="AF23" s="23"/>
      <c r="AG23" s="23"/>
      <c r="AH23" s="23"/>
    </row>
    <row r="24" spans="27:34" s="19" customFormat="1" ht="12.75">
      <c r="AA24" s="416"/>
      <c r="AB24" s="417"/>
      <c r="AC24" s="283"/>
      <c r="AD24" s="283"/>
      <c r="AE24" s="283"/>
      <c r="AF24" s="283"/>
      <c r="AG24" s="283"/>
      <c r="AH24" s="283"/>
    </row>
    <row r="25" spans="27:37" ht="12.75">
      <c r="AA25" s="23"/>
      <c r="AB25" s="23"/>
      <c r="AC25" s="23"/>
      <c r="AD25" s="23"/>
      <c r="AE25" s="23"/>
      <c r="AF25" s="23"/>
      <c r="AG25" s="23"/>
      <c r="AH25" s="23"/>
      <c r="AK25" t="s">
        <v>190</v>
      </c>
    </row>
    <row r="26" spans="27:37" ht="12.75">
      <c r="AA26" s="23"/>
      <c r="AB26" s="23"/>
      <c r="AC26" s="23"/>
      <c r="AD26" s="23"/>
      <c r="AE26" s="23"/>
      <c r="AF26" s="23"/>
      <c r="AG26" s="23"/>
      <c r="AH26" s="23"/>
      <c r="AK26">
        <f>IF(COMANDOBLOQUEADO!$U$6="1º TRIMESTRE",GLOSAS!D43,IF(COMANDOBLOQUEADO!$U$6="2º TRIMESTRE",GLOSAS!E43,IF(COMANDOBLOQUEADO!$U$6="3º TRIMESTRE",GLOSAS!F43,GLOSAS!G43)))</f>
        <v>0</v>
      </c>
    </row>
    <row r="27" spans="27:37" ht="12.75">
      <c r="AA27" s="23"/>
      <c r="AB27" s="23"/>
      <c r="AC27" s="21"/>
      <c r="AD27" s="21"/>
      <c r="AE27" s="21"/>
      <c r="AF27" s="21"/>
      <c r="AG27" s="21"/>
      <c r="AH27" s="21"/>
      <c r="AK27">
        <f>IF(COMANDOBLOQUEADO!$U$6="1º TRIMESTRE",GLOSAS!D52,IF(COMANDOBLOQUEADO!$U$6="2º TRIMESTRE",GLOSAS!E52,IF(COMANDOBLOQUEADO!$U$6="3º TRIMESTRE",GLOSAS!F52,GLOSAS!G52)))</f>
        <v>0</v>
      </c>
    </row>
    <row r="28" spans="27:37" ht="12.75">
      <c r="AA28" s="23"/>
      <c r="AB28" s="23"/>
      <c r="AC28" s="23"/>
      <c r="AD28" s="23"/>
      <c r="AE28" s="23"/>
      <c r="AF28" s="23"/>
      <c r="AG28" s="23"/>
      <c r="AH28" s="23"/>
      <c r="AK28">
        <f>IF(COMANDOBLOQUEADO!$U$6="1º TRIMESTRE",GLOSAS!D34,IF(COMANDOBLOQUEADO!$U$6="2º TRIMESTRE",GLOSAS!E34,IF(COMANDOBLOQUEADO!$U$6="3º TRIMESTRE",GLOSAS!F34,GLOSAS!G34)))</f>
        <v>961678.36</v>
      </c>
    </row>
    <row r="29" spans="27:34" ht="12.75">
      <c r="AA29" s="23"/>
      <c r="AB29" s="284"/>
      <c r="AC29" s="23"/>
      <c r="AD29" s="23"/>
      <c r="AE29" s="23"/>
      <c r="AF29" s="23"/>
      <c r="AG29" s="23"/>
      <c r="AH29" s="23"/>
    </row>
    <row r="30" spans="27:37" ht="12.75">
      <c r="AA30" s="23"/>
      <c r="AB30" s="284"/>
      <c r="AC30" s="23"/>
      <c r="AD30" s="23"/>
      <c r="AE30" s="23"/>
      <c r="AF30" s="23"/>
      <c r="AG30" s="23"/>
      <c r="AH30" s="23"/>
      <c r="AK30" t="s">
        <v>248</v>
      </c>
    </row>
    <row r="31" spans="27:37" ht="12.75">
      <c r="AA31" s="23"/>
      <c r="AB31" s="284"/>
      <c r="AC31" s="23"/>
      <c r="AD31" s="23"/>
      <c r="AE31" s="23"/>
      <c r="AF31" s="23"/>
      <c r="AG31" s="23"/>
      <c r="AH31" s="23"/>
      <c r="AK31">
        <f>IF(COMANDOBLOQUEADO!$U$6="1º TRIMESTRE",RECEITAS!E48,IF(COMANDOBLOQUEADO!$U$6="2º TRIMESTRE",RECEITAS!F48,IF(COMANDOBLOQUEADO!$U$6="3º TRIMESTRE",RECEITAS!G48,RECEITAS!H48)))</f>
        <v>6327634.34</v>
      </c>
    </row>
    <row r="32" spans="27:34" ht="12.75">
      <c r="AA32" s="23"/>
      <c r="AB32" s="284"/>
      <c r="AC32" s="23"/>
      <c r="AD32" s="23"/>
      <c r="AE32" s="23"/>
      <c r="AF32" s="23"/>
      <c r="AG32" s="23"/>
      <c r="AH32" s="23"/>
    </row>
    <row r="33" spans="27:37" ht="12.75">
      <c r="AA33" s="415"/>
      <c r="AB33" s="284"/>
      <c r="AC33" s="23"/>
      <c r="AD33" s="23"/>
      <c r="AE33" s="23"/>
      <c r="AF33" s="23"/>
      <c r="AG33" s="23"/>
      <c r="AH33" s="23"/>
      <c r="AK33" t="s">
        <v>215</v>
      </c>
    </row>
    <row r="34" spans="27:37" ht="12.75">
      <c r="AA34" s="23"/>
      <c r="AB34" s="23"/>
      <c r="AC34" s="23"/>
      <c r="AD34" s="23"/>
      <c r="AE34" s="23"/>
      <c r="AF34" s="23"/>
      <c r="AG34" s="23"/>
      <c r="AH34" s="23"/>
      <c r="AK34">
        <f>IF(COMANDOBLOQUEADO!$U$6="1º TRIMESTRE",FUNDEB!D14+FUNDEB!D31+FUNDEB!D48,IF(COMANDOBLOQUEADO!$U$6="2º TRIMESTRE",FUNDEB!E14+FUNDEB!E31+FUNDEB!E48,IF(COMANDOBLOQUEADO!$U$6="3º TRIMESTRE",FUNDEB!F14+FUNDEB!F31+FUNDEB!F48,FUNDEB!G14+FUNDEB!G31+FUNDEB!G48)))</f>
        <v>3917126.48</v>
      </c>
    </row>
    <row r="35" spans="27:37" ht="12.75">
      <c r="AA35" s="415"/>
      <c r="AB35" s="285"/>
      <c r="AC35" s="23"/>
      <c r="AD35" s="23"/>
      <c r="AE35" s="23"/>
      <c r="AF35" s="23"/>
      <c r="AG35" s="23"/>
      <c r="AH35" s="23"/>
      <c r="AK35">
        <f>IF(COMANDOBLOQUEADO!$U$6="1º TRIMESTRE",FUNDEB!D25+FUNDEB!D42+FUNDEB!D59,IF(COMANDOBLOQUEADO!$U$6="2º TRIMESTRE",FUNDEB!E25+FUNDEB!E42+FUNDEB!E59,IF(COMANDOBLOQUEADO!$U$6="3º TRIMESTRE",FUNDEB!F25+FUNDEB!F42+FUNDEB!F59,FUNDEB!G25+FUNDEB!G42+FUNDEB!G59)))</f>
        <v>2380807.46</v>
      </c>
    </row>
    <row r="36" spans="27:34" ht="12.75">
      <c r="AA36" s="415"/>
      <c r="AB36" s="285"/>
      <c r="AC36" s="23"/>
      <c r="AD36" s="23"/>
      <c r="AE36" s="23"/>
      <c r="AF36" s="23"/>
      <c r="AG36" s="23"/>
      <c r="AH36" s="23"/>
    </row>
    <row r="37" spans="27:37" ht="12.75">
      <c r="AA37" s="415"/>
      <c r="AB37" s="285"/>
      <c r="AC37" s="23"/>
      <c r="AD37" s="23"/>
      <c r="AE37" s="23"/>
      <c r="AF37" s="23"/>
      <c r="AG37" s="23"/>
      <c r="AH37" s="23"/>
      <c r="AK37" t="s">
        <v>159</v>
      </c>
    </row>
    <row r="38" spans="27:37" ht="12.75">
      <c r="AA38" s="23"/>
      <c r="AB38" s="23"/>
      <c r="AC38" s="23"/>
      <c r="AD38" s="23"/>
      <c r="AE38" s="23"/>
      <c r="AF38" s="23"/>
      <c r="AG38" s="23"/>
      <c r="AH38" s="23"/>
      <c r="AK38">
        <f>IF(COMANDOBLOQUEADO!$U$6="1º TRIMESTRE",AK39,IF(COMANDOBLOQUEADO!$U$6="2º TRIMESTRE",AK40,IF(COMANDOBLOQUEADO!$U$6="3º TRIMESTRE",AK41,AK42)))</f>
        <v>85171.85</v>
      </c>
    </row>
    <row r="39" spans="27:37" ht="12.75">
      <c r="AA39" s="416"/>
      <c r="AB39" s="417"/>
      <c r="AC39" s="283"/>
      <c r="AD39" s="283"/>
      <c r="AE39" s="283"/>
      <c r="AF39" s="283"/>
      <c r="AG39" s="283"/>
      <c r="AH39" s="283"/>
      <c r="AJ39" t="s">
        <v>155</v>
      </c>
      <c r="AK39">
        <f>IF(FUNDEB!D60&lt;RECEITAS!E46,FUNDEB!D60,RECEITAS!E46)</f>
        <v>21088.44</v>
      </c>
    </row>
    <row r="40" spans="28:37" ht="12.75">
      <c r="AB40" s="23"/>
      <c r="AC40" s="23"/>
      <c r="AD40" s="23"/>
      <c r="AE40" s="23"/>
      <c r="AF40" s="23"/>
      <c r="AJ40" t="s">
        <v>156</v>
      </c>
      <c r="AK40">
        <f>IF(FUNDEB!E60&lt;RECEITAS!F46,FUNDEB!E60,RECEITAS!F46)</f>
        <v>43628.9</v>
      </c>
    </row>
    <row r="41" spans="28:37" ht="12.75">
      <c r="AB41" s="419"/>
      <c r="AC41" s="23"/>
      <c r="AD41" s="23"/>
      <c r="AE41" s="23"/>
      <c r="AF41" s="23"/>
      <c r="AJ41" t="s">
        <v>157</v>
      </c>
      <c r="AK41">
        <f>IF(FUNDEB!F60&lt;RECEITAS!G46,FUNDEB!F60,RECEITAS!G46)</f>
        <v>65111.46</v>
      </c>
    </row>
    <row r="42" spans="28:37" ht="12.75">
      <c r="AB42" s="419"/>
      <c r="AC42" s="23"/>
      <c r="AD42" s="23"/>
      <c r="AE42" s="23"/>
      <c r="AF42" s="23"/>
      <c r="AJ42" t="s">
        <v>158</v>
      </c>
      <c r="AK42">
        <f>IF(FUNDEB!G60&lt;RECEITAS!H46,FUNDEB!G60,RECEITAS!H46)</f>
        <v>85171.85</v>
      </c>
    </row>
    <row r="43" spans="28:32" ht="12.75">
      <c r="AB43" s="419"/>
      <c r="AC43" s="23"/>
      <c r="AD43" s="23"/>
      <c r="AE43" s="23"/>
      <c r="AF43" s="23"/>
    </row>
    <row r="44" spans="28:37" ht="12.75">
      <c r="AB44" s="419"/>
      <c r="AC44" s="23"/>
      <c r="AD44" s="23"/>
      <c r="AE44" s="23"/>
      <c r="AF44" s="23"/>
      <c r="AK44" t="s">
        <v>160</v>
      </c>
    </row>
    <row r="45" spans="28:37" ht="12.75">
      <c r="AB45" s="419"/>
      <c r="AC45" s="23"/>
      <c r="AD45" s="23"/>
      <c r="AE45" s="23"/>
      <c r="AF45" s="23"/>
      <c r="AK45">
        <f>IF(COMANDOBLOQUEADO!$U$6="1º TRIMESTRE",AK46,IF(COMANDOBLOQUEADO!$U$6="2º TRIMESTRE",AK47,IF(COMANDOBLOQUEADO!$U$6="3º TRIMESTRE",AK48,AK49)))</f>
        <v>85171.85</v>
      </c>
    </row>
    <row r="46" spans="28:37" ht="12.75">
      <c r="AB46" s="419"/>
      <c r="AC46" s="23"/>
      <c r="AD46" s="23"/>
      <c r="AE46" s="23"/>
      <c r="AF46" s="23"/>
      <c r="AJ46" t="s">
        <v>155</v>
      </c>
      <c r="AK46">
        <f>IF(FUNDEB!H60&lt;RECEITAS!E46,FUNDEB!H60,RECEITAS!E46)</f>
        <v>21088.44</v>
      </c>
    </row>
    <row r="47" spans="28:37" ht="12.75">
      <c r="AB47" s="419"/>
      <c r="AC47" s="23"/>
      <c r="AD47" s="23"/>
      <c r="AE47" s="23"/>
      <c r="AF47" s="23"/>
      <c r="AJ47" t="s">
        <v>156</v>
      </c>
      <c r="AK47">
        <f>IF(FUNDEB!H60&lt;RECEITAS!F46,FUNDEB!H60,RECEITAS!F46)</f>
        <v>43628.9</v>
      </c>
    </row>
    <row r="48" spans="28:37" ht="12.75">
      <c r="AB48" s="419"/>
      <c r="AC48" s="23"/>
      <c r="AD48" s="23"/>
      <c r="AE48" s="23"/>
      <c r="AF48" s="23"/>
      <c r="AJ48" t="s">
        <v>157</v>
      </c>
      <c r="AK48">
        <f>IF(FUNDEB!H60&lt;RECEITAS!G46,FUNDEB!H60,RECEITAS!G46)</f>
        <v>65111.46</v>
      </c>
    </row>
    <row r="49" spans="28:37" ht="12.75">
      <c r="AB49" s="419"/>
      <c r="AC49" s="23"/>
      <c r="AD49" s="23"/>
      <c r="AE49" s="23"/>
      <c r="AF49" s="23"/>
      <c r="AJ49" t="s">
        <v>158</v>
      </c>
      <c r="AK49">
        <f>IF(FUNDEB!H60&lt;RECEITAS!H46,FUNDEB!H60,RECEITAS!H46)</f>
        <v>85171.85</v>
      </c>
    </row>
    <row r="50" spans="28:32" ht="12.75">
      <c r="AB50" s="419"/>
      <c r="AC50" s="23"/>
      <c r="AD50" s="23"/>
      <c r="AE50" s="23"/>
      <c r="AF50" s="23"/>
    </row>
    <row r="51" spans="28:37" ht="12.75">
      <c r="AB51" s="419"/>
      <c r="AC51" s="23"/>
      <c r="AD51" s="23"/>
      <c r="AE51" s="23"/>
      <c r="AF51" s="23"/>
      <c r="AK51" t="s">
        <v>162</v>
      </c>
    </row>
    <row r="52" spans="28:37" ht="12.75">
      <c r="AB52" s="419"/>
      <c r="AC52" s="23"/>
      <c r="AD52" s="23"/>
      <c r="AE52" s="23"/>
      <c r="AF52" s="23"/>
      <c r="AK52">
        <f>IF(COMANDOBLOQUEADO!$U$6="1º TRIMESTRE",AK53,IF(COMANDOBLOQUEADO!$U$6="2º TRIMESTRE",AK54,IF(COMANDOBLOQUEADO!$U$6="3º TRIMESTRE",AK55,AK56)))</f>
        <v>85171.85</v>
      </c>
    </row>
    <row r="53" spans="28:37" ht="12.75">
      <c r="AB53" s="419"/>
      <c r="AC53" s="23"/>
      <c r="AD53" s="23"/>
      <c r="AE53" s="23"/>
      <c r="AF53" s="23"/>
      <c r="AJ53" t="s">
        <v>155</v>
      </c>
      <c r="AK53">
        <f>IF(FUNDEB!I60&lt;RECEITAS!E46,FUNDEB!I60,RECEITAS!E46)</f>
        <v>21088.44</v>
      </c>
    </row>
    <row r="54" spans="28:37" ht="12.75">
      <c r="AB54" s="419"/>
      <c r="AC54" s="23"/>
      <c r="AD54" s="23"/>
      <c r="AE54" s="23"/>
      <c r="AF54" s="23"/>
      <c r="AJ54" t="s">
        <v>156</v>
      </c>
      <c r="AK54">
        <f>IF(FUNDEB!I60&lt;RECEITAS!F46,FUNDEB!I60,RECEITAS!F46)</f>
        <v>43628.9</v>
      </c>
    </row>
    <row r="55" spans="28:37" ht="12.75">
      <c r="AB55" s="419"/>
      <c r="AC55" s="23"/>
      <c r="AD55" s="23"/>
      <c r="AE55" s="23"/>
      <c r="AF55" s="23"/>
      <c r="AJ55" t="s">
        <v>157</v>
      </c>
      <c r="AK55">
        <f>IF(FUNDEB!I60&lt;RECEITAS!G46,FUNDEB!I60,RECEITAS!G46)</f>
        <v>65111.46</v>
      </c>
    </row>
    <row r="56" spans="28:37" ht="12.75">
      <c r="AB56" s="419"/>
      <c r="AC56" s="23"/>
      <c r="AD56" s="23"/>
      <c r="AE56" s="23"/>
      <c r="AF56" s="23"/>
      <c r="AJ56" t="s">
        <v>158</v>
      </c>
      <c r="AK56">
        <f>IF(FUNDEB!I60&lt;RECEITAS!H46,FUNDEB!I60,RECEITAS!H46)</f>
        <v>85171.85</v>
      </c>
    </row>
    <row r="57" spans="28:32" ht="12.75">
      <c r="AB57" s="419"/>
      <c r="AC57" s="23"/>
      <c r="AD57" s="23"/>
      <c r="AE57" s="23"/>
      <c r="AF57" s="23"/>
    </row>
    <row r="58" spans="28:37" ht="12.75">
      <c r="AB58" s="419"/>
      <c r="AC58" s="23"/>
      <c r="AD58" s="23"/>
      <c r="AE58" s="23"/>
      <c r="AF58" s="23"/>
      <c r="AK58" t="s">
        <v>74</v>
      </c>
    </row>
    <row r="59" spans="28:37" ht="12.75">
      <c r="AB59" s="419"/>
      <c r="AC59" s="23"/>
      <c r="AD59" s="23"/>
      <c r="AE59" s="23"/>
      <c r="AF59" s="23"/>
      <c r="AK59">
        <f>IF(COMANDOBLOQUEADO!$U$6="1º TRIMESTRE",AK60,IF(COMANDOBLOQUEADO!$U$6="2º TRIMESTRE",AK61,IF(COMANDOBLOQUEADO!$U$6="3º TRIMESTRE",AK62,AK63)))</f>
        <v>3745723.7899999996</v>
      </c>
    </row>
    <row r="60" spans="28:37" ht="12.75">
      <c r="AB60" s="419"/>
      <c r="AC60" s="23"/>
      <c r="AD60" s="23"/>
      <c r="AE60" s="23"/>
      <c r="AF60" s="23"/>
      <c r="AJ60" t="s">
        <v>155</v>
      </c>
      <c r="AK60">
        <f>IF(RECEITAS!$E$45&gt;RECEITAS!$E$41,IF(RESUMO!$E$50&gt;RECEITAS!$E$41,RESUMO!$E$50-RECEITAS!$E$41,0),0)</f>
        <v>5544072.16</v>
      </c>
    </row>
    <row r="61" spans="28:37" ht="12.75">
      <c r="AB61" s="419"/>
      <c r="AC61" s="23"/>
      <c r="AD61" s="23"/>
      <c r="AE61" s="23"/>
      <c r="AF61" s="23"/>
      <c r="AJ61" t="s">
        <v>156</v>
      </c>
      <c r="AK61">
        <f>IF(RECEITAS!$F$45&gt;RECEITAS!$F$41,IF(RESUMO!$E$50&gt;RECEITAS!$F$41,RESUMO!$E$50-RECEITAS!$F$41,0),0)</f>
        <v>4942355.26</v>
      </c>
    </row>
    <row r="62" spans="28:37" ht="12.75">
      <c r="AB62" s="419"/>
      <c r="AC62" s="23"/>
      <c r="AD62" s="23"/>
      <c r="AE62" s="23"/>
      <c r="AF62" s="23"/>
      <c r="AJ62" t="s">
        <v>157</v>
      </c>
      <c r="AK62">
        <f>IF(RECEITAS!$G$45&gt;RECEITAS!$G$41,IF(RESUMO!$E$50&gt;RECEITAS!$G$41,RESUMO!$E$50-RECEITAS!$G$41,0),0)</f>
        <v>4406960.88</v>
      </c>
    </row>
    <row r="63" spans="28:37" ht="12.75">
      <c r="AB63" s="419"/>
      <c r="AC63" s="23"/>
      <c r="AD63" s="23"/>
      <c r="AE63" s="23"/>
      <c r="AF63" s="23"/>
      <c r="AJ63" t="s">
        <v>158</v>
      </c>
      <c r="AK63">
        <f>IF(RECEITAS!$H$45&gt;RECEITAS!$H$41,IF(RESUMO!$E$50&gt;RECEITAS!$H$41,RESUMO!$E$50-RECEITAS!$H$41,0),0)</f>
        <v>3745723.7899999996</v>
      </c>
    </row>
    <row r="64" spans="28:32" ht="12.75">
      <c r="AB64" s="419"/>
      <c r="AC64" s="23"/>
      <c r="AD64" s="23"/>
      <c r="AE64" s="23"/>
      <c r="AF64" s="23"/>
    </row>
    <row r="65" spans="28:37" ht="12.75">
      <c r="AB65" s="419"/>
      <c r="AC65" s="23"/>
      <c r="AD65" s="23"/>
      <c r="AE65" s="23"/>
      <c r="AF65" s="23"/>
      <c r="AK65" t="s">
        <v>75</v>
      </c>
    </row>
    <row r="66" spans="28:37" ht="12.75">
      <c r="AB66" s="419"/>
      <c r="AC66" s="23"/>
      <c r="AD66" s="23"/>
      <c r="AE66" s="23"/>
      <c r="AF66" s="23"/>
      <c r="AK66">
        <f>IF(COMANDOBLOQUEADO!$U$6="1º TRIMESTRE",AK67,IF(COMANDOBLOQUEADO!$U$6="2º TRIMESTRE",AK68,IF(COMANDOBLOQUEADO!$U$6="3º TRIMESTRE",AK69,AK70)))</f>
        <v>3745723.7899999996</v>
      </c>
    </row>
    <row r="67" spans="28:37" ht="12.75">
      <c r="AB67" s="419"/>
      <c r="AC67" s="23"/>
      <c r="AD67" s="23"/>
      <c r="AE67" s="23"/>
      <c r="AF67" s="23"/>
      <c r="AJ67" t="s">
        <v>155</v>
      </c>
      <c r="AK67">
        <f>IF(RECEITAS!$E$45&gt;RECEITAS!$E$41,IF(RESUMO!F50&gt;RECEITAS!$E$41,RESUMO!F50-RECEITAS!$E$41,0),0)</f>
        <v>5544072.16</v>
      </c>
    </row>
    <row r="68" spans="28:37" ht="12.75">
      <c r="AB68" s="419"/>
      <c r="AC68" s="418"/>
      <c r="AD68" s="23"/>
      <c r="AE68" s="418"/>
      <c r="AF68" s="418"/>
      <c r="AJ68" t="s">
        <v>156</v>
      </c>
      <c r="AK68">
        <f>IF(RECEITAS!$F$45&gt;RECEITAS!$F$41,IF(RESUMO!F50&gt;RECEITAS!$F$41,RESUMO!F50-RECEITAS!$F$41,0),0)</f>
        <v>4942355.26</v>
      </c>
    </row>
    <row r="69" spans="28:37" ht="12.75">
      <c r="AB69" s="419"/>
      <c r="AC69" s="23"/>
      <c r="AD69" s="23"/>
      <c r="AE69" s="23"/>
      <c r="AF69" s="23"/>
      <c r="AJ69" t="s">
        <v>157</v>
      </c>
      <c r="AK69">
        <f>IF(RECEITAS!$G$45&gt;RECEITAS!$G$41,IF(RESUMO!F50&gt;RECEITAS!$G$41,RESUMO!F50-RECEITAS!$G$41,0),0)</f>
        <v>4406960.88</v>
      </c>
    </row>
    <row r="70" spans="28:37" ht="12.75">
      <c r="AB70" s="419"/>
      <c r="AC70" s="23"/>
      <c r="AD70" s="23"/>
      <c r="AE70" s="23"/>
      <c r="AF70" s="23"/>
      <c r="AJ70" t="s">
        <v>158</v>
      </c>
      <c r="AK70">
        <f>IF(RECEITAS!$H$45&gt;RECEITAS!$H$41,IF(RESUMO!F50&gt;RECEITAS!$H$41,RESUMO!F50-RECEITAS!$H$41,0),0)</f>
        <v>3745723.7899999996</v>
      </c>
    </row>
    <row r="71" spans="28:32" ht="12.75">
      <c r="AB71" s="27"/>
      <c r="AC71" s="23"/>
      <c r="AD71" s="23"/>
      <c r="AE71" s="23"/>
      <c r="AF71" s="23"/>
    </row>
    <row r="72" spans="28:37" ht="12.75">
      <c r="AB72" s="419"/>
      <c r="AC72" s="23"/>
      <c r="AD72" s="23"/>
      <c r="AE72" s="23"/>
      <c r="AF72" s="23"/>
      <c r="AK72" t="s">
        <v>76</v>
      </c>
    </row>
    <row r="73" spans="28:37" ht="12.75">
      <c r="AB73" s="419"/>
      <c r="AC73" s="23"/>
      <c r="AD73" s="23"/>
      <c r="AE73" s="23"/>
      <c r="AF73" s="23"/>
      <c r="AK73">
        <f>IF(COMANDOBLOQUEADO!$U$6="1º TRIMESTRE",AK74,IF(COMANDOBLOQUEADO!$U$6="2º TRIMESTRE",AK75,IF(COMANDOBLOQUEADO!$U$6="3º TRIMESTRE",AK76,AK77)))</f>
        <v>3638938.7500000005</v>
      </c>
    </row>
    <row r="74" spans="28:37" ht="12.75">
      <c r="AB74" s="419"/>
      <c r="AC74" s="23"/>
      <c r="AD74" s="23"/>
      <c r="AE74" s="23"/>
      <c r="AF74" s="23"/>
      <c r="AJ74" t="s">
        <v>155</v>
      </c>
      <c r="AK74">
        <f>IF(RECEITAS!$E$45&gt;RECEITAS!$E$41,IF(RESUMO!G50&gt;RECEITAS!$E$41,RESUMO!G50-RECEITAS!$E$41,0),0)</f>
        <v>5437287.120000001</v>
      </c>
    </row>
    <row r="75" spans="28:37" ht="12.75">
      <c r="AB75" s="419"/>
      <c r="AC75" s="23"/>
      <c r="AD75" s="23"/>
      <c r="AE75" s="23"/>
      <c r="AF75" s="23"/>
      <c r="AJ75" t="s">
        <v>156</v>
      </c>
      <c r="AK75">
        <f>IF(RECEITAS!$F$45&gt;RECEITAS!$F$41,IF(RESUMO!G50&gt;RECEITAS!$F$41,RESUMO!G50-RECEITAS!$F$41,0),0)</f>
        <v>4835570.220000001</v>
      </c>
    </row>
    <row r="76" spans="28:37" ht="12.75">
      <c r="AB76" s="419"/>
      <c r="AC76" s="23"/>
      <c r="AD76" s="23"/>
      <c r="AE76" s="23"/>
      <c r="AF76" s="23"/>
      <c r="AJ76" t="s">
        <v>157</v>
      </c>
      <c r="AK76">
        <f>IF(RECEITAS!$G$45&gt;RECEITAS!$G$41,IF(RESUMO!G50&gt;RECEITAS!$G$41,RESUMO!G50-RECEITAS!$G$41,0),0)</f>
        <v>4300175.840000001</v>
      </c>
    </row>
    <row r="77" spans="28:37" ht="12.75">
      <c r="AB77" s="419"/>
      <c r="AC77" s="23"/>
      <c r="AD77" s="23"/>
      <c r="AE77" s="23"/>
      <c r="AF77" s="23"/>
      <c r="AJ77" t="s">
        <v>158</v>
      </c>
      <c r="AK77">
        <f>IF(RECEITAS!$H$45&gt;RECEITAS!$H$41,IF(RESUMO!G50&gt;RECEITAS!$H$41,RESUMO!G50-RECEITAS!$H$41,0),0)</f>
        <v>3638938.7500000005</v>
      </c>
    </row>
    <row r="78" spans="28:32" ht="12.75">
      <c r="AB78" s="419"/>
      <c r="AC78" s="23"/>
      <c r="AD78" s="23"/>
      <c r="AE78" s="23"/>
      <c r="AF78" s="23"/>
    </row>
    <row r="79" spans="28:37" ht="12.75">
      <c r="AB79" s="419"/>
      <c r="AC79" s="23"/>
      <c r="AD79" s="23"/>
      <c r="AE79" s="23"/>
      <c r="AF79" s="23"/>
      <c r="AK79" t="s">
        <v>79</v>
      </c>
    </row>
    <row r="80" spans="28:37" ht="12.75">
      <c r="AB80" s="419"/>
      <c r="AC80" s="23"/>
      <c r="AD80" s="23"/>
      <c r="AE80" s="23"/>
      <c r="AF80" s="23"/>
      <c r="AJ80" t="s">
        <v>155</v>
      </c>
      <c r="AK80" t="str">
        <f>IF(ADMERFUND!$H$54&gt;ADMERFUND!D54,"X","")</f>
        <v>X</v>
      </c>
    </row>
    <row r="81" spans="28:37" ht="12.75">
      <c r="AB81" s="419"/>
      <c r="AC81" s="23"/>
      <c r="AD81" s="23"/>
      <c r="AE81" s="23"/>
      <c r="AF81" s="23"/>
      <c r="AJ81" t="s">
        <v>156</v>
      </c>
      <c r="AK81" t="str">
        <f>IF(ADMERFUND!$H$54&gt;ADMERFUND!E54,"X","")</f>
        <v>X</v>
      </c>
    </row>
    <row r="82" spans="28:37" ht="12.75">
      <c r="AB82" s="419"/>
      <c r="AC82" s="23"/>
      <c r="AD82" s="23"/>
      <c r="AE82" s="23"/>
      <c r="AF82" s="23"/>
      <c r="AJ82" t="s">
        <v>157</v>
      </c>
      <c r="AK82" t="str">
        <f>IF(ADMERFUND!$H$54&gt;ADMERFUND!F54,"X","")</f>
        <v>X</v>
      </c>
    </row>
    <row r="83" spans="28:37" ht="12.75">
      <c r="AB83" s="419"/>
      <c r="AC83" s="23"/>
      <c r="AD83" s="23"/>
      <c r="AE83" s="23"/>
      <c r="AF83" s="23"/>
      <c r="AJ83" t="s">
        <v>158</v>
      </c>
      <c r="AK83">
        <f>IF(ADMERFUND!$H$54&gt;ADMERFUND!G54,"X","")</f>
      </c>
    </row>
    <row r="84" spans="28:32" ht="12.75">
      <c r="AB84" s="419"/>
      <c r="AC84" s="23"/>
      <c r="AD84" s="23"/>
      <c r="AE84" s="23"/>
      <c r="AF84" s="23"/>
    </row>
    <row r="85" spans="28:37" ht="12.75">
      <c r="AB85" s="419"/>
      <c r="AC85" s="23"/>
      <c r="AD85" s="23"/>
      <c r="AE85" s="23"/>
      <c r="AF85" s="23"/>
      <c r="AK85" t="s">
        <v>80</v>
      </c>
    </row>
    <row r="86" spans="28:37" ht="12.75">
      <c r="AB86" s="419"/>
      <c r="AC86" s="23"/>
      <c r="AD86" s="23"/>
      <c r="AE86" s="23"/>
      <c r="AF86" s="23"/>
      <c r="AJ86" t="s">
        <v>155</v>
      </c>
      <c r="AK86" t="str">
        <f>IF(INJAESP!$H$58&gt;INJAESP!D58,"X","")</f>
        <v>X</v>
      </c>
    </row>
    <row r="87" spans="28:37" ht="12.75">
      <c r="AB87" s="419"/>
      <c r="AC87" s="23"/>
      <c r="AD87" s="23"/>
      <c r="AE87" s="23"/>
      <c r="AF87" s="23"/>
      <c r="AJ87" t="s">
        <v>156</v>
      </c>
      <c r="AK87" t="str">
        <f>IF(INJAESP!$H$58&gt;INJAESP!E58,"X","")</f>
        <v>X</v>
      </c>
    </row>
    <row r="88" spans="28:37" ht="12.75">
      <c r="AB88" s="419"/>
      <c r="AC88" s="23"/>
      <c r="AD88" s="23"/>
      <c r="AE88" s="23"/>
      <c r="AF88" s="23"/>
      <c r="AJ88" t="s">
        <v>157</v>
      </c>
      <c r="AK88" t="str">
        <f>IF(INJAESP!$H$58&gt;INJAESP!F58,"X","")</f>
        <v>X</v>
      </c>
    </row>
    <row r="89" spans="28:37" ht="12.75">
      <c r="AB89" s="419"/>
      <c r="AC89" s="23"/>
      <c r="AD89" s="23"/>
      <c r="AE89" s="23"/>
      <c r="AF89" s="23"/>
      <c r="AJ89" t="s">
        <v>158</v>
      </c>
      <c r="AK89">
        <f>IF(INJAESP!$H$58&gt;INJAESP!G58,"X","")</f>
      </c>
    </row>
    <row r="90" spans="28:32" ht="12.75">
      <c r="AB90" s="419"/>
      <c r="AC90" s="23"/>
      <c r="AD90" s="23"/>
      <c r="AE90" s="23"/>
      <c r="AF90" s="23"/>
    </row>
    <row r="91" spans="28:37" ht="12.75">
      <c r="AB91" s="419"/>
      <c r="AC91" s="23"/>
      <c r="AD91" s="23"/>
      <c r="AE91" s="23"/>
      <c r="AF91" s="23"/>
      <c r="AK91" t="s">
        <v>81</v>
      </c>
    </row>
    <row r="92" spans="28:37" ht="12.75">
      <c r="AB92" s="419"/>
      <c r="AC92" s="23"/>
      <c r="AD92" s="23"/>
      <c r="AE92" s="23"/>
      <c r="AF92" s="23"/>
      <c r="AJ92" t="s">
        <v>155</v>
      </c>
      <c r="AK92">
        <f>IF(FUNDEB!D$60&gt;RECEITAS!E$48,"X","")</f>
      </c>
    </row>
    <row r="93" spans="28:37" ht="12.75">
      <c r="AB93" s="419"/>
      <c r="AC93" s="23"/>
      <c r="AD93" s="23"/>
      <c r="AE93" s="23"/>
      <c r="AF93" s="23"/>
      <c r="AJ93" t="s">
        <v>156</v>
      </c>
      <c r="AK93">
        <f>IF(FUNDEB!E$60&gt;RECEITAS!F$48,"X","")</f>
      </c>
    </row>
    <row r="94" spans="28:37" ht="12.75">
      <c r="AB94" s="419"/>
      <c r="AC94" s="23"/>
      <c r="AD94" s="23"/>
      <c r="AE94" s="23"/>
      <c r="AF94" s="23"/>
      <c r="AJ94" t="s">
        <v>157</v>
      </c>
      <c r="AK94">
        <f>IF(FUNDEB!F$60&gt;RECEITAS!G$48,"X","")</f>
      </c>
    </row>
    <row r="95" spans="28:37" ht="12.75">
      <c r="AB95" s="419"/>
      <c r="AC95" s="23"/>
      <c r="AD95" s="23"/>
      <c r="AE95" s="23"/>
      <c r="AF95" s="23"/>
      <c r="AJ95" t="s">
        <v>158</v>
      </c>
      <c r="AK95">
        <f>IF(FUNDEB!G$60&gt;RECEITAS!H$48,"X","")</f>
      </c>
    </row>
    <row r="96" spans="28:32" ht="12.75">
      <c r="AB96" s="419"/>
      <c r="AC96" s="23"/>
      <c r="AD96" s="23"/>
      <c r="AE96" s="23"/>
      <c r="AF96" s="23"/>
    </row>
    <row r="97" spans="28:37" ht="12.75">
      <c r="AB97" s="419"/>
      <c r="AC97" s="23"/>
      <c r="AD97" s="23"/>
      <c r="AE97" s="23"/>
      <c r="AF97" s="23"/>
      <c r="AK97" t="s">
        <v>84</v>
      </c>
    </row>
    <row r="98" spans="28:37" ht="12.75">
      <c r="AB98" s="419"/>
      <c r="AC98" s="23"/>
      <c r="AD98" s="23"/>
      <c r="AE98" s="23"/>
      <c r="AF98" s="23"/>
      <c r="AJ98" t="s">
        <v>155</v>
      </c>
      <c r="AK98" t="str">
        <f>IF(FUNDEB!$H$60&gt;FUNDEB!D$60,"X","")</f>
        <v>X</v>
      </c>
    </row>
    <row r="99" spans="28:37" ht="12.75">
      <c r="AB99" s="419"/>
      <c r="AC99" s="418"/>
      <c r="AD99" s="418"/>
      <c r="AE99" s="418"/>
      <c r="AF99" s="418"/>
      <c r="AJ99" t="s">
        <v>156</v>
      </c>
      <c r="AK99" t="str">
        <f>IF(FUNDEB!$H$60&gt;FUNDEB!E$60,"X","")</f>
        <v>X</v>
      </c>
    </row>
    <row r="100" spans="28:37" ht="12.75">
      <c r="AB100" s="419"/>
      <c r="AC100" s="23"/>
      <c r="AD100" s="23"/>
      <c r="AE100" s="23"/>
      <c r="AF100" s="23"/>
      <c r="AJ100" t="s">
        <v>157</v>
      </c>
      <c r="AK100" t="str">
        <f>IF(FUNDEB!$H$60&gt;FUNDEB!F$60,"X","")</f>
        <v>X</v>
      </c>
    </row>
    <row r="101" spans="28:37" ht="12.75">
      <c r="AB101" s="27"/>
      <c r="AC101" s="23"/>
      <c r="AD101" s="23"/>
      <c r="AE101" s="23"/>
      <c r="AF101" s="23"/>
      <c r="AJ101" t="s">
        <v>158</v>
      </c>
      <c r="AK101">
        <f>IF(FUNDEB!$H$60&gt;FUNDEB!G$60,"X","")</f>
      </c>
    </row>
    <row r="102" spans="28:32" ht="12.75">
      <c r="AB102" s="27"/>
      <c r="AC102" s="23"/>
      <c r="AD102" s="23"/>
      <c r="AE102" s="23"/>
      <c r="AF102" s="23"/>
    </row>
    <row r="103" spans="28:37" ht="12.75">
      <c r="AB103" s="27"/>
      <c r="AC103" s="23"/>
      <c r="AD103" s="23"/>
      <c r="AE103" s="23"/>
      <c r="AF103" s="23"/>
      <c r="AK103" t="s">
        <v>91</v>
      </c>
    </row>
    <row r="104" spans="36:37" ht="12.75">
      <c r="AJ104" t="s">
        <v>155</v>
      </c>
      <c r="AK104" t="str">
        <f>IF((GLOSAS!$H$34+GLOSAS!$H$43+GLOSAS!$H$52)&gt;(GLOSAS!D$34+GLOSAS!D$43+GLOSAS!D$52),"X","")</f>
        <v>X</v>
      </c>
    </row>
    <row r="105" spans="36:37" ht="12.75">
      <c r="AJ105" t="s">
        <v>156</v>
      </c>
      <c r="AK105" t="str">
        <f>IF((GLOSAS!$H$34+GLOSAS!$H$43+GLOSAS!$H$52)&gt;(GLOSAS!E$34+GLOSAS!E$43+GLOSAS!E$52),"X","")</f>
        <v>X</v>
      </c>
    </row>
    <row r="106" spans="28:37" ht="12.75">
      <c r="AB106" t="s">
        <v>1209</v>
      </c>
      <c r="AJ106" t="s">
        <v>157</v>
      </c>
      <c r="AK106" t="str">
        <f>IF((GLOSAS!$H$34+GLOSAS!$H$43+GLOSAS!$H$52)&gt;(GLOSAS!F$34+GLOSAS!F$43+GLOSAS!F$52),"X","")</f>
        <v>X</v>
      </c>
    </row>
    <row r="107" spans="28:37" ht="15">
      <c r="AB107" t="s">
        <v>1210</v>
      </c>
      <c r="AC107" s="65">
        <f>IF(RECEITAS!E41&lt;0,"Mensagem! Lançar o valor da conta retificadora sem o sinal negativo.","")</f>
      </c>
      <c r="AD107" s="63">
        <f>IF(RECEITAS!F41&lt;0,"Mensagem! Lançar o valor da conta retificadora sem o sinal negativo.","")</f>
      </c>
      <c r="AE107" s="63">
        <f>IF(RECEITAS!G41&lt;0,"Mensagem! Lançar o valor da conta retificadora sem o sinal negativo.","")</f>
      </c>
      <c r="AF107" s="63">
        <f>IF(RECEITAS!H41&lt;0,"Mensagem! Lançar o valor da conta retificadora sem o sinal negativo.","")</f>
      </c>
      <c r="AJ107" t="s">
        <v>158</v>
      </c>
      <c r="AK107">
        <f>IF((GLOSAS!$H$34+GLOSAS!$H$43+GLOSAS!$H$52)&gt;(GLOSAS!G$34+GLOSAS!G$43+GLOSAS!G$52),"X","")</f>
      </c>
    </row>
    <row r="109" ht="12.75">
      <c r="AK109" t="s">
        <v>95</v>
      </c>
    </row>
    <row r="110" spans="36:37" ht="12.75">
      <c r="AJ110" t="s">
        <v>155</v>
      </c>
      <c r="AK110">
        <f>IF((GLOSAS!D$34+GLOSAS!D$43+GLOSAS!D$52)&gt;(ADMERFUND!D$54+INJAESP!D$58),"X","")</f>
      </c>
    </row>
    <row r="111" spans="36:37" ht="12.75">
      <c r="AJ111" t="s">
        <v>156</v>
      </c>
      <c r="AK111">
        <f>IF((GLOSAS!E$34+GLOSAS!E$43+GLOSAS!E$52)&gt;(ADMERFUND!E$54+INJAESP!E$58),"X","")</f>
      </c>
    </row>
    <row r="112" spans="36:37" ht="12.75">
      <c r="AJ112" t="s">
        <v>157</v>
      </c>
      <c r="AK112">
        <f>IF((GLOSAS!F$34+GLOSAS!F$43+GLOSAS!F$52)&gt;(ADMERFUND!F$54+INJAESP!F$58),"X","")</f>
      </c>
    </row>
    <row r="113" spans="36:37" ht="12.75">
      <c r="AJ113" t="s">
        <v>158</v>
      </c>
      <c r="AK113">
        <f>IF((GLOSAS!G$34+GLOSAS!G$43+GLOSAS!G$52)&gt;(ADMERFUND!G$54+INJAESP!G$58),"X","")</f>
      </c>
    </row>
    <row r="115" ht="12.75">
      <c r="AK115" t="s">
        <v>98</v>
      </c>
    </row>
    <row r="116" spans="36:37" ht="12.75">
      <c r="AJ116" t="s">
        <v>155</v>
      </c>
      <c r="AK116">
        <f>IF((GLOSAS!D$34+GLOSAS!D$43+GLOSAS!D$52)=0,"X","")</f>
      </c>
    </row>
    <row r="117" spans="36:37" ht="12.75">
      <c r="AJ117" t="s">
        <v>156</v>
      </c>
      <c r="AK117">
        <f>IF((GLOSAS!E$34+GLOSAS!E$43+GLOSAS!E$52)=0,"X","")</f>
      </c>
    </row>
    <row r="118" spans="36:37" ht="12.75">
      <c r="AJ118" t="s">
        <v>157</v>
      </c>
      <c r="AK118">
        <f>IF((GLOSAS!F$34+GLOSAS!F$43+GLOSAS!F$52)=0,"X","")</f>
      </c>
    </row>
    <row r="119" spans="36:37" ht="12.75">
      <c r="AJ119" t="s">
        <v>158</v>
      </c>
      <c r="AK119">
        <f>IF((GLOSAS!G$34+GLOSAS!G$43+GLOSAS!G$52)=0,"X","")</f>
      </c>
    </row>
    <row r="121" ht="12.75">
      <c r="AK121" t="s">
        <v>104</v>
      </c>
    </row>
    <row r="122" spans="36:37" ht="12.75">
      <c r="AJ122" t="s">
        <v>155</v>
      </c>
      <c r="AK122">
        <f>IF(REPASSES!H40=0,"X","")</f>
      </c>
    </row>
    <row r="123" spans="36:37" ht="12.75">
      <c r="AJ123" t="s">
        <v>156</v>
      </c>
      <c r="AK123">
        <f>IF(REPASSES!H114=0,"X","")</f>
      </c>
    </row>
    <row r="124" spans="36:37" ht="12.75">
      <c r="AJ124" t="s">
        <v>157</v>
      </c>
      <c r="AK124">
        <f>IF(REPASSES!H189=0,"X","")</f>
      </c>
    </row>
    <row r="125" spans="36:37" ht="12.75">
      <c r="AJ125" t="s">
        <v>158</v>
      </c>
      <c r="AK125">
        <f>IF(REPASSES!H264=0,"X","")</f>
      </c>
    </row>
    <row r="128" ht="12.75">
      <c r="AK128" t="s">
        <v>1226</v>
      </c>
    </row>
    <row r="129" ht="14.25">
      <c r="AK129" s="286">
        <f>IF(CHECK!$I$23="X","",IF(CHECK!$I$25="X","",IF(CHECK!$I$27="X","",IF(CHECK!$I$29="X","",IF(CHECK!$I$32="X","",IF(CHECK!$I$35="X","",IF(CHECK!$I$37="X","",LOGICA!AK3)))))))</f>
        <v>1807937.01</v>
      </c>
    </row>
    <row r="130" ht="14.25">
      <c r="AK130" s="286">
        <f>IF(CHECK!$I$23="X","",IF(CHECK!$I$25="X","",IF(CHECK!$I$27="X","",IF(CHECK!$I$29="X","",IF(CHECK!$I$32="X","",IF(CHECK!$I$35="X","",IF(CHECK!$I$37="X","",LOGICA!AK4)))))))</f>
        <v>7096926.949999999</v>
      </c>
    </row>
    <row r="131" ht="14.25">
      <c r="AK131" s="286">
        <f>IF(CHECK!$I$23="X","",IF(CHECK!$I$25="X","",IF(CHECK!$I$27="X","",IF(CHECK!$I$29="X","",IF(CHECK!$I$32="X","",IF(CHECK!$I$35="X","",IF(CHECK!$I$37="X","",LOGICA!AK5)))))))</f>
        <v>5538496.9799999995</v>
      </c>
    </row>
    <row r="132" ht="14.25">
      <c r="AK132" s="286">
        <f>IF(CHECK!$I$23="X","",IF(CHECK!$I$25="X","",IF(CHECK!$I$27="X","",IF(CHECK!$I$29="X","",IF(CHECK!$I$32="X","",IF(CHECK!$I$35="X","",IF(CHECK!$I$37="X","",RESUMO!G7+RESUMO!G8+RESUMO!G9)))))))</f>
        <v>14443360.939999998</v>
      </c>
    </row>
    <row r="134" ht="14.25">
      <c r="AK134" s="286">
        <f>IF(CHECK!$I$23="X","",IF(CHECK!$I$25="X","",IF(CHECK!$I$27="X","",IF(CHECK!$I$29="X","",IF(CHECK!$I$32="X","",IF(CHECK!$I$35="X","",IF(CHECK!$I$37="X","",RESUMO!G10*0.25)))))))</f>
        <v>3610840.2349999994</v>
      </c>
    </row>
    <row r="135" ht="14.25">
      <c r="AK135" s="286">
        <f>IF(CHECK!$I$23="X","",IF(CHECK!$I$25="X","",IF(CHECK!$I$27="X","",IF(CHECK!$I$29="X","",IF(CHECK!$I$32="X","",IF(CHECK!$I$35="X","",IF(CHECK!$I$37="X","",LOGICA!AK8)))))))</f>
        <v>2467038.3000000003</v>
      </c>
    </row>
    <row r="136" ht="14.25">
      <c r="AK136" s="286">
        <f>IF(CHECK!$I$23="X","",IF(CHECK!$I$25="X","",IF(CHECK!$I$27="X","",IF(CHECK!$I$29="X","",IF(CHECK!$I$32="X","",IF(CHECK!$I$35="X","",IF(CHECK!$I$37="X","",RESUMO!G13-RESUMO!G14)))))))</f>
        <v>1143801.9349999991</v>
      </c>
    </row>
    <row r="137" ht="14.25">
      <c r="AK137" s="286">
        <f>IF(CHECK!$I$23="X","",IF(CHECK!$I$25="X","",IF(CHECK!$I$27="X","",IF(CHECK!$I$29="X","",IF(CHECK!$I$32="X","",IF(CHECK!$I$35="X","",IF(CHECK!$I$37="X","",LOGICA!AK10)))))))</f>
        <v>6242462.49</v>
      </c>
    </row>
    <row r="138" ht="14.25">
      <c r="AK138" s="286">
        <f>IF(CHECK!$I$23="X","",IF(CHECK!$I$25="X","",IF(CHECK!$I$27="X","",IF(CHECK!$I$29="X","",IF(CHECK!$I$32="X","",IF(CHECK!$I$35="X","",IF(CHECK!$I$37="X","",RESUMO!G16-RESUMO!G14)))))))</f>
        <v>3775424.19</v>
      </c>
    </row>
    <row r="140" ht="14.25">
      <c r="AK140" s="286">
        <f>IF(CHECK!$I$23="X","",IF(CHECK!$I$25="X","",IF(CHECK!$I$27="X","",IF(CHECK!$I$29="X","",IF(CHECK!$I$32="X","",IF(CHECK!$I$35="X","",IF(CHECK!$I$37="X","",LOGICA!AK12)))))))</f>
        <v>54296.29</v>
      </c>
    </row>
    <row r="141" ht="14.25">
      <c r="AK141" s="286">
        <f>IF(CHECK!$I$23="X","",IF(CHECK!$I$25="X","",IF(CHECK!$I$27="X","",IF(CHECK!$I$29="X","",IF(CHECK!$I$32="X","",IF(CHECK!$I$35="X","",IF(CHECK!$I$37="X","",LOGICA!AK13)))))))</f>
        <v>1381825.19</v>
      </c>
    </row>
    <row r="142" ht="14.25">
      <c r="AK142" s="286">
        <f>IF(CHECK!$I$23="X","",IF(CHECK!$I$25="X","",IF(CHECK!$I$27="X","",IF(CHECK!$I$29="X","",IF(CHECK!$I$32="X","",IF(CHECK!$I$35="X","",IF(CHECK!$I$37="X","",LOGICA!AK14)))))))</f>
        <v>0</v>
      </c>
    </row>
    <row r="143" ht="14.25">
      <c r="AK143" s="286">
        <f>IF(CHECK!$I$23="X","",IF(CHECK!$I$25="X","",IF(CHECK!$I$27="X","",IF(CHECK!$I$29="X","",IF(CHECK!$I$32="X","",IF(CHECK!$I$35="X","",IF(CHECK!$I$37="X","",RESUMO!G20+RESUMO!G21+RESUMO!G22)))))))</f>
        <v>1436121.48</v>
      </c>
    </row>
    <row r="145" ht="14.25">
      <c r="AK145" s="286">
        <f>IF(CHECK!$I$23="X","",IF(CHECK!$I$25="X","",IF(CHECK!$I$27="X","",IF(CHECK!$I$29="X","",IF(CHECK!$I$32="X","",IF(CHECK!$I$35="X","",IF(CHECK!$I$37="X","",LOGICA!AK17)))))))</f>
        <v>0</v>
      </c>
    </row>
    <row r="146" ht="14.25">
      <c r="AK146" s="286">
        <f>IF(CHECK!$I$23="X","",IF(CHECK!$I$25="X","",IF(CHECK!$I$27="X","",IF(CHECK!$I$29="X","",IF(CHECK!$I$32="X","",IF(CHECK!$I$35="X","",IF(CHECK!$I$37="X","",LOGICA!AK18)))))))</f>
        <v>1809597.94</v>
      </c>
    </row>
    <row r="147" ht="14.25">
      <c r="AK147" s="286">
        <f>IF(CHECK!$I$23="X","",IF(CHECK!$I$25="X","",IF(CHECK!$I$27="X","",IF(CHECK!$I$29="X","",IF(CHECK!$I$32="X","",IF(CHECK!$I$35="X","",IF(CHECK!$I$37="X","",LOGICA!AK19)))))))</f>
        <v>618769.0299999999</v>
      </c>
    </row>
    <row r="148" ht="14.25">
      <c r="AK148" s="286">
        <f>IF(CHECK!$I$23="X","",IF(CHECK!$I$25="X","",IF(CHECK!$I$27="X","",IF(CHECK!$I$29="X","",IF(CHECK!$I$32="X","",IF(CHECK!$I$35="X","",IF(CHECK!$I$37="X","",LOGICA!AK20)))))))</f>
        <v>0</v>
      </c>
    </row>
    <row r="149" ht="14.25">
      <c r="AK149" s="286">
        <f>IF(CHECK!$I$23="X","",IF(CHECK!$I$25="X","",IF(CHECK!$I$27="X","",IF(CHECK!$I$29="X","",IF(CHECK!$I$32="X","",IF(CHECK!$I$35="X","",IF(CHECK!$I$37="X","",LOGICA!AK21)))))))</f>
        <v>0</v>
      </c>
    </row>
    <row r="150" ht="14.25">
      <c r="AK150" s="286">
        <f>IF(CHECK!$I$23="X","",IF(CHECK!$I$25="X","",IF(CHECK!$I$27="X","",IF(CHECK!$I$29="X","",IF(CHECK!$I$32="X","",IF(CHECK!$I$35="X","",IF(CHECK!$I$37="X","",RESUMO!E26+RESUMO!E27+RESUMO!E28+RESUMO!E29+RESUMO!E30)))))))</f>
        <v>2428366.9699999997</v>
      </c>
    </row>
    <row r="151" ht="14.25">
      <c r="AK151" s="286">
        <f>IF(CHECK!$I$23="X","",IF(CHECK!$I$25="X","",IF(CHECK!$I$27="X","",IF(CHECK!$I$29="X","",IF(CHECK!$I$32="X","",IF(CHECK!$I$35="X","",IF(CHECK!$I$37="X","",LOGICA!AK26)))))))</f>
        <v>0</v>
      </c>
    </row>
    <row r="152" ht="14.25">
      <c r="AK152" s="286">
        <f>IF(CHECK!$I$23="X","",IF(CHECK!$I$25="X","",IF(CHECK!$I$27="X","",IF(CHECK!$I$29="X","",IF(CHECK!$I$32="X","",IF(CHECK!$I$35="X","",IF(CHECK!$I$37="X","",LOGICA!AK28)))))))</f>
        <v>961678.36</v>
      </c>
    </row>
    <row r="153" ht="14.25">
      <c r="AK153" s="286">
        <f>IF(CHECK!$I$23="X","",IF(CHECK!$I$25="X","",IF(CHECK!$I$27="X","",IF(CHECK!$I$29="X","",IF(CHECK!$I$32="X","",IF(CHECK!$I$35="X","",IF(CHECK!$I$37="X","",LOGICA!AK27)))))))</f>
        <v>0</v>
      </c>
    </row>
    <row r="154" ht="14.25">
      <c r="AK154" s="286">
        <f>IF(CHECK!$I$23="X","",IF(CHECK!$I$25="X","",IF(CHECK!$I$27="X","",IF(CHECK!$I$29="X","",IF(CHECK!$I$32="X","",IF(CHECK!$I$35="X","",IF(CHECK!$I$37="X","",RESUMO!E31-RESUMO!E32-RESUMO!E33-RESUMO!E34)))))))</f>
        <v>1466688.6099999999</v>
      </c>
    </row>
    <row r="156" spans="37:38" ht="14.25">
      <c r="AK156" s="286">
        <f>IF(CHECK!$I$23="X","",IF(CHECK!$I$25="X","",IF(CHECK!$I$27="X","",IF(CHECK!$I$29="X","",IF(CHECK!$I$32="X","",IF(CHECK!$I$35="X","",IF(CHECK!$I$37="X","",ADMERFUND!H26)))))))</f>
        <v>0</v>
      </c>
      <c r="AL156" s="286">
        <f>IF(CHECK!$I$23="X","",IF(CHECK!$I$25="X","",IF(CHECK!$I$27="X","",IF(CHECK!$I$29="X","",IF(CHECK!$I$32="X","",IF(CHECK!$I$35="X","",IF(CHECK!$I$37="X","",ADMERFUND!I26)))))))</f>
        <v>0</v>
      </c>
    </row>
    <row r="157" spans="37:38" ht="14.25">
      <c r="AK157" s="286">
        <f>IF(CHECK!$I$23="X","",IF(CHECK!$I$25="X","",IF(CHECK!$I$27="X","",IF(CHECK!$I$29="X","",IF(CHECK!$I$32="X","",IF(CHECK!$I$35="X","",IF(CHECK!$I$37="X","",ADMERFUND!H53)))))))</f>
        <v>1809597.94</v>
      </c>
      <c r="AL157" s="286">
        <f>IF(CHECK!$I$23="X","",IF(CHECK!$I$25="X","",IF(CHECK!$I$27="X","",IF(CHECK!$I$29="X","",IF(CHECK!$I$32="X","",IF(CHECK!$I$35="X","",IF(CHECK!$I$37="X","",ADMERFUND!I53)))))))</f>
        <v>1809597.94</v>
      </c>
    </row>
    <row r="158" spans="37:38" ht="14.25">
      <c r="AK158" s="286">
        <f>IF(CHECK!$I$23="X","",IF(CHECK!$I$25="X","",IF(CHECK!$I$27="X","",IF(CHECK!$I$29="X","",IF(CHECK!$I$32="X","",IF(CHECK!$I$35="X","",IF(CHECK!$I$37="X","",INJAESP!H27)))))))</f>
        <v>618769.0299999999</v>
      </c>
      <c r="AL158" s="286">
        <f>IF(CHECK!$I$23="X","",IF(CHECK!$I$25="X","",IF(CHECK!$I$27="X","",IF(CHECK!$I$29="X","",IF(CHECK!$I$32="X","",IF(CHECK!$I$35="X","",IF(CHECK!$I$37="X","",INJAESP!I27)))))))</f>
        <v>618769.0299999999</v>
      </c>
    </row>
    <row r="159" spans="37:38" ht="14.25">
      <c r="AK159" s="286">
        <f>IF(CHECK!$I$23="X","",IF(CHECK!$I$25="X","",IF(CHECK!$I$27="X","",IF(CHECK!$I$29="X","",IF(CHECK!$I$32="X","",IF(CHECK!$I$35="X","",IF(CHECK!$I$37="X","",INJAESP!H42)))))))</f>
        <v>0</v>
      </c>
      <c r="AL159" s="286">
        <f>IF(CHECK!$I$23="X","",IF(CHECK!$I$25="X","",IF(CHECK!$I$27="X","",IF(CHECK!$I$29="X","",IF(CHECK!$I$32="X","",IF(CHECK!$I$35="X","",IF(CHECK!$I$37="X","",INJAESP!I42)))))))</f>
        <v>0</v>
      </c>
    </row>
    <row r="160" spans="37:38" ht="14.25">
      <c r="AK160" s="286">
        <f>IF(CHECK!$I$23="X","",IF(CHECK!$I$25="X","",IF(CHECK!$I$27="X","",IF(CHECK!$I$29="X","",IF(CHECK!$I$32="X","",IF(CHECK!$I$35="X","",IF(CHECK!$I$37="X","",INJAESP!H57)))))))</f>
        <v>0</v>
      </c>
      <c r="AL160" s="286">
        <f>IF(CHECK!$I$23="X","",IF(CHECK!$I$25="X","",IF(CHECK!$I$27="X","",IF(CHECK!$I$29="X","",IF(CHECK!$I$32="X","",IF(CHECK!$I$35="X","",IF(CHECK!$I$37="X","",INJAESP!I57)))))))</f>
        <v>0</v>
      </c>
    </row>
    <row r="161" spans="37:38" ht="14.25">
      <c r="AK161" s="286">
        <f>IF(CHECK!$I$23="X","",IF(CHECK!$I$25="X","",IF(CHECK!$I$27="X","",IF(CHECK!$I$29="X","",IF(CHECK!$I$32="X","",IF(CHECK!$I$35="X","",IF(CHECK!$I$37="X","",RESUMO!F26+RESUMO!F27+RESUMO!F28+RESUMO!F29+RESUMO!F30)))))))</f>
        <v>2428366.9699999997</v>
      </c>
      <c r="AL161" s="286">
        <f>IF(CHECK!$I$23="X","",IF(CHECK!$I$25="X","",IF(CHECK!$I$27="X","",IF(CHECK!$I$29="X","",IF(CHECK!$I$32="X","",IF(CHECK!$I$35="X","",IF(CHECK!$I$37="X","",RESUMO!G26+RESUMO!G27+RESUMO!G28+RESUMO!G29+RESUMO!G30)))))))</f>
        <v>2428366.9699999997</v>
      </c>
    </row>
    <row r="162" spans="37:38" ht="14.25">
      <c r="AK162" s="286">
        <f>IF(CHECK!$I$23="X","",IF(CHECK!$I$25="X","",IF(CHECK!$I$27="X","",IF(CHECK!$I$29="X","",IF(CHECK!$I$32="X","",IF(CHECK!$I$35="X","",IF(CHECK!$I$37="X","",GLOSAS!H43)))))))</f>
        <v>0</v>
      </c>
      <c r="AL162" s="286">
        <f>IF(CHECK!$I$23="X","",IF(CHECK!$I$25="X","",IF(CHECK!$I$27="X","",IF(CHECK!$I$29="X","",IF(CHECK!$I$32="X","",IF(CHECK!$I$35="X","",IF(CHECK!$I$37="X","",GLOSAS!I43)))))))</f>
        <v>0</v>
      </c>
    </row>
    <row r="163" spans="37:38" ht="14.25">
      <c r="AK163" s="286">
        <f>IF(CHECK!$I$23="X","",IF(CHECK!$I$25="X","",IF(CHECK!$I$27="X","",IF(CHECK!$I$29="X","",IF(CHECK!$I$32="X","",IF(CHECK!$I$35="X","",IF(CHECK!$I$37="X","",GLOSAS!H34)))))))</f>
        <v>961678.36</v>
      </c>
      <c r="AL163" s="286">
        <f>IF(CHECK!$I$23="X","",IF(CHECK!$I$25="X","",IF(CHECK!$I$27="X","",IF(CHECK!$I$29="X","",IF(CHECK!$I$32="X","",IF(CHECK!$I$35="X","",IF(CHECK!$I$37="X","",GLOSAS!I34)))))))</f>
        <v>961678.36</v>
      </c>
    </row>
    <row r="164" spans="37:38" ht="14.25">
      <c r="AK164" s="286">
        <f>IF(CHECK!$I$23="X","",IF(CHECK!$I$25="X","",IF(CHECK!$I$27="X","",IF(CHECK!$I$29="X","",IF(CHECK!$I$32="X","",IF(CHECK!$I$35="X","",IF(CHECK!$I$37="X","",GLOSAS!H52)))))))</f>
        <v>0</v>
      </c>
      <c r="AL164" s="286">
        <f>IF(CHECK!$I$23="X","",IF(CHECK!$I$25="X","",IF(CHECK!$I$27="X","",IF(CHECK!$I$29="X","",IF(CHECK!$I$32="X","",IF(CHECK!$I$35="X","",IF(CHECK!$I$37="X","",GLOSAS!I52)))))))</f>
        <v>0</v>
      </c>
    </row>
    <row r="165" spans="37:38" ht="14.25">
      <c r="AK165" s="286">
        <f>IF(CHECK!$I$23="X","",IF(CHECK!$I$25="X","",IF(CHECK!$I$27="X","",IF(CHECK!$I$29="X","",IF(CHECK!$I$32="X","",IF(CHECK!$I$35="X","",IF(CHECK!$I$37="X","",RESUMO!F31-RESUMO!F32-RESUMO!F33-RESUMO!F34)))))))</f>
        <v>1466688.6099999999</v>
      </c>
      <c r="AL165" s="286">
        <f>IF(CHECK!$I$23="X","",IF(CHECK!$I$25="X","",IF(CHECK!$I$27="X","",IF(CHECK!$I$29="X","",IF(CHECK!$I$32="X","",IF(CHECK!$I$35="X","",IF(CHECK!$I$37="X","",RESUMO!G31-RESUMO!G32-RESUMO!G33-RESUMO!G34)))))))</f>
        <v>1466688.6099999999</v>
      </c>
    </row>
    <row r="167" ht="14.25">
      <c r="AK167" s="286">
        <f>IF(CHECK!$I$23="X","",IF(CHECK!$I$25="X","",IF(CHECK!$I$27="X","",IF(CHECK!$I$29="X","",IF(CHECK!$I$32="X","",IF(CHECK!$I$35="X","",IF(CHECK!$I$37="X","",LOGICA!AK31)))))))</f>
        <v>6327634.34</v>
      </c>
    </row>
    <row r="168" ht="14.25">
      <c r="AK168" s="286">
        <f>IF(CHECK!$I$23="X","",IF(CHECK!$I$25="X","",IF(CHECK!$I$27="X","",IF(CHECK!$I$29="X","",IF(CHECK!$I$32="X","",IF(CHECK!$I$35="X","",IF(CHECK!$I$37="X","",RESUMO!G38*0.95)))))))</f>
        <v>6011252.623</v>
      </c>
    </row>
    <row r="169" ht="14.25">
      <c r="AK169" s="286">
        <f>IF(CHECK!$I$23="X","",IF(CHECK!$I$25="X","",IF(CHECK!$I$27="X","",IF(CHECK!$I$29="X","",IF(CHECK!$I$32="X","",IF(CHECK!$I$35="X","",IF(CHECK!$I$37="X","",RESUMO!E47-RESUMO!G39)))))))</f>
        <v>286681.3169999998</v>
      </c>
    </row>
    <row r="171" spans="37:39" ht="14.25">
      <c r="AK171" s="286">
        <f>IF(CHECK!$I$23="X","",IF(CHECK!$I$25="X","",IF(CHECK!$I$27="X","",IF(CHECK!$I$29="X","",IF(CHECK!$I$32="X","",IF(CHECK!$I$35="X","",IF(CHECK!$I$37="X","",LOGICA!AK34)))))))</f>
        <v>3917126.48</v>
      </c>
      <c r="AL171" s="286">
        <f>IF(CHECK!$I$23="X","",IF(CHECK!$I$25="X","",IF(CHECK!$I$27="X","",IF(CHECK!$I$29="X","",IF(CHECK!$I$32="X","",IF(CHECK!$I$35="X","",IF(CHECK!$I$37="X","",FUNDEB!H14+FUNDEB!H31+FUNDEB!H48)))))))</f>
        <v>3917126.48</v>
      </c>
      <c r="AM171" s="286">
        <f>IF(CHECK!$I$23="X","",IF(CHECK!$I$25="X","",IF(CHECK!$I$27="X","",IF(CHECK!$I$29="X","",IF(CHECK!$I$32="X","",IF(CHECK!$I$35="X","",IF(CHECK!$I$37="X","",FUNDEB!I14+FUNDEB!I31+FUNDEB!I48)))))))</f>
        <v>3917126.48</v>
      </c>
    </row>
    <row r="172" spans="37:39" ht="14.25">
      <c r="AK172" s="286">
        <f>IF(CHECK!$I$23="X","",IF(CHECK!$I$25="X","",IF(CHECK!$I$27="X","",IF(CHECK!$I$29="X","",IF(CHECK!$I$32="X","",IF(CHECK!$I$35="X","",IF(CHECK!$I$37="X","",IF(RESUMO!$G$38=0,"",RESUMO!E43/RESUMO!$G$38))))))))</f>
        <v>0.6190507019721371</v>
      </c>
      <c r="AL172" s="286">
        <f>IF(CHECK!$I$23="X","",IF(CHECK!$I$25="X","",IF(CHECK!$I$27="X","",IF(CHECK!$I$29="X","",IF(CHECK!$I$32="X","",IF(CHECK!$I$35="X","",IF(CHECK!$I$37="X","",IF(RESUMO!$G$38=0,"",RESUMO!F43/RESUMO!$G$38))))))))</f>
        <v>0.6190507019721371</v>
      </c>
      <c r="AM172" s="286">
        <f>IF(CHECK!$I$23="X","",IF(CHECK!$I$25="X","",IF(CHECK!$I$27="X","",IF(CHECK!$I$29="X","",IF(CHECK!$I$32="X","",IF(CHECK!$I$35="X","",IF(CHECK!$I$37="X","",IF(RESUMO!$G$38=0,"",RESUMO!G43/RESUMO!$G$38))))))))</f>
        <v>0.6190507019721371</v>
      </c>
    </row>
    <row r="173" spans="37:39" ht="14.25">
      <c r="AK173" s="286">
        <f>IF(CHECK!$I$23="X","",IF(CHECK!$I$25="X","",IF(CHECK!$I$27="X","",IF(CHECK!$I$29="X","",IF(CHECK!$I$32="X","",IF(CHECK!$I$35="X","",IF(CHECK!$I$37="X","",LOGICA!AK35)))))))</f>
        <v>2380807.46</v>
      </c>
      <c r="AL173" s="286">
        <f>IF(CHECK!$I$23="X","",IF(CHECK!$I$25="X","",IF(CHECK!$I$27="X","",IF(CHECK!$I$29="X","",IF(CHECK!$I$32="X","",IF(CHECK!$I$35="X","",IF(CHECK!$I$37="X","",FUNDEB!H25+FUNDEB!H42+FUNDEB!H59)))))))</f>
        <v>2380807.46</v>
      </c>
      <c r="AM173" s="286">
        <f>IF(CHECK!$I$23="X","",IF(CHECK!$I$25="X","",IF(CHECK!$I$27="X","",IF(CHECK!$I$29="X","",IF(CHECK!$I$32="X","",IF(CHECK!$I$35="X","",IF(CHECK!$I$37="X","",FUNDEB!I25+FUNDEB!I42+FUNDEB!I59)))))))</f>
        <v>2274022.4200000004</v>
      </c>
    </row>
    <row r="174" spans="37:39" ht="14.25">
      <c r="AK174" s="286">
        <f>IF(CHECK!$I$23="X","",IF(CHECK!$I$25="X","",IF(CHECK!$I$27="X","",IF(CHECK!$I$29="X","",IF(CHECK!$I$32="X","",IF(CHECK!$I$35="X","",IF(CHECK!$I$37="X","",IF(RESUMO!$G$38=0,"",RESUMO!E45/RESUMO!$G$38))))))))</f>
        <v>0.37625553754738617</v>
      </c>
      <c r="AL174" s="286">
        <f>IF(CHECK!$I$23="X","",IF(CHECK!$I$25="X","",IF(CHECK!$I$27="X","",IF(CHECK!$I$29="X","",IF(CHECK!$I$32="X","",IF(CHECK!$I$35="X","",IF(CHECK!$I$37="X","",IF(RESUMO!$G$38=0,"",RESUMO!F45/RESUMO!$G$38))))))))</f>
        <v>0.37625553754738617</v>
      </c>
      <c r="AM174" s="286">
        <f>IF(CHECK!$I$23="X","",IF(CHECK!$I$25="X","",IF(CHECK!$I$27="X","",IF(CHECK!$I$29="X","",IF(CHECK!$I$32="X","",IF(CHECK!$I$35="X","",IF(CHECK!$I$37="X","",IF(RESUMO!$G$38=0,"",RESUMO!G45/RESUMO!$G$38))))))))</f>
        <v>0.35937955605696403</v>
      </c>
    </row>
    <row r="175" spans="37:39" ht="14.25">
      <c r="AK175" s="286">
        <f>IF(CHECK!$I$23="X","",IF(CHECK!$I$25="X","",IF(CHECK!$I$27="X","",IF(CHECK!$I$29="X","",IF(CHECK!$I$32="X","",IF(CHECK!$I$35="X","",IF(CHECK!$I$37="X","",RESUMO!E43+RESUMO!E45)))))))</f>
        <v>6297933.9399999995</v>
      </c>
      <c r="AL175" s="286">
        <f>IF(CHECK!$I$23="X","",IF(CHECK!$I$25="X","",IF(CHECK!$I$27="X","",IF(CHECK!$I$29="X","",IF(CHECK!$I$32="X","",IF(CHECK!$I$35="X","",IF(CHECK!$I$37="X","",RESUMO!F43+RESUMO!F45)))))))</f>
        <v>6297933.9399999995</v>
      </c>
      <c r="AM175" s="286">
        <f>IF(CHECK!$I$23="X","",IF(CHECK!$I$25="X","",IF(CHECK!$I$27="X","",IF(CHECK!$I$29="X","",IF(CHECK!$I$32="X","",IF(CHECK!$I$35="X","",IF(CHECK!$I$37="X","",RESUMO!G43+RESUMO!G45)))))))</f>
        <v>6191148.9</v>
      </c>
    </row>
    <row r="176" spans="37:39" ht="14.25">
      <c r="AK176" s="286">
        <f>IF(CHECK!$I$23="X","",IF(CHECK!$I$25="X","",IF(CHECK!$I$27="X","",IF(CHECK!$I$29="X","",IF(CHECK!$I$32="X","",IF(CHECK!$I$35="X","",IF(CHECK!$I$37="X","",IF(RESUMO!$G$38=0,"",RESUMO!E47/RESUMO!$G$38))))))))</f>
        <v>0.9953062395195231</v>
      </c>
      <c r="AL176" s="286">
        <f>IF(CHECK!$I$23="X","",IF(CHECK!$I$25="X","",IF(CHECK!$I$27="X","",IF(CHECK!$I$29="X","",IF(CHECK!$I$32="X","",IF(CHECK!$I$35="X","",IF(CHECK!$I$37="X","",IF(RESUMO!$G$38=0,"",RESUMO!F47/RESUMO!$G$38))))))))</f>
        <v>0.9953062395195231</v>
      </c>
      <c r="AM176" s="286">
        <f>IF(CHECK!$I$23="X","",IF(CHECK!$I$25="X","",IF(CHECK!$I$27="X","",IF(CHECK!$I$29="X","",IF(CHECK!$I$32="X","",IF(CHECK!$I$35="X","",IF(CHECK!$I$37="X","",IF(RESUMO!$G$38=0,"",RESUMO!G47/RESUMO!$G$38))))))))</f>
        <v>0.978430258029101</v>
      </c>
    </row>
    <row r="177" spans="37:39" ht="14.25">
      <c r="AK177" s="286">
        <f>IF(CHECK!$I$23="X","",IF(CHECK!$I$25="X","",IF(CHECK!$I$27="X","",IF(CHECK!$I$29="X","",IF(CHECK!$I$32="X","",IF(CHECK!$I$35="X","",IF(CHECK!$I$37="X","",LOGICA!AK38)))))))</f>
        <v>85171.85</v>
      </c>
      <c r="AL177" s="286">
        <f>IF(CHECK!$I$23="X","",IF(CHECK!$I$25="X","",IF(CHECK!$I$27="X","",IF(CHECK!$I$29="X","",IF(CHECK!$I$32="X","",IF(CHECK!$I$35="X","",IF(CHECK!$I$37="X","",LOGICA!AK45)))))))</f>
        <v>85171.85</v>
      </c>
      <c r="AM177" s="286">
        <f>IF(CHECK!$I$23="X","",IF(CHECK!$I$25="X","",IF(CHECK!$I$27="X","",IF(CHECK!$I$29="X","",IF(CHECK!$I$32="X","",IF(CHECK!$I$35="X","",IF(CHECK!$I$37="X","",LOGICA!AK52)))))))</f>
        <v>85171.85</v>
      </c>
    </row>
    <row r="178" spans="37:39" ht="14.25">
      <c r="AK178" s="286">
        <f>IF(CHECK!$I$23="X","",IF(CHECK!$I$25="X","",IF(CHECK!$I$27="X","",IF(CHECK!$I$29="X","",IF(CHECK!$I$32="X","",IF(CHECK!$I$35="X","",IF(CHECK!$I$37="X","",RESUMO!E47-RESUMO!E49)))))))</f>
        <v>6212762.09</v>
      </c>
      <c r="AL178" s="286">
        <f>IF(CHECK!$I$23="X","",IF(CHECK!$I$25="X","",IF(CHECK!$I$27="X","",IF(CHECK!$I$29="X","",IF(CHECK!$I$32="X","",IF(CHECK!$I$35="X","",IF(CHECK!$I$37="X","",RESUMO!F47-RESUMO!F49)))))))</f>
        <v>6212762.09</v>
      </c>
      <c r="AM178" s="286">
        <f>IF(CHECK!$I$23="X","",IF(CHECK!$I$25="X","",IF(CHECK!$I$27="X","",IF(CHECK!$I$29="X","",IF(CHECK!$I$32="X","",IF(CHECK!$I$35="X","",IF(CHECK!$I$37="X","",RESUMO!G47-RESUMO!G49)))))))</f>
        <v>6105977.050000001</v>
      </c>
    </row>
    <row r="180" spans="37:39" ht="14.25">
      <c r="AK180" s="286">
        <f>IF(CHECK!$I$23="X","",IF(CHECK!$I$25="X","",IF(CHECK!$I$27="X","",IF(CHECK!$I$29="X","",IF(CHECK!$I$32="X","",IF(CHECK!$I$35="X","",IF(CHECK!$I$37="X","",RESUMO!E35)))))))</f>
        <v>1466688.6099999999</v>
      </c>
      <c r="AL180" s="286">
        <f>IF(CHECK!$I$23="X","",IF(CHECK!$I$25="X","",IF(CHECK!$I$27="X","",IF(CHECK!$I$29="X","",IF(CHECK!$I$32="X","",IF(CHECK!$I$35="X","",IF(CHECK!$I$37="X","",RESUMO!F35)))))))</f>
        <v>1466688.6099999999</v>
      </c>
      <c r="AM180" s="286">
        <f>IF(CHECK!$I$23="X","",IF(CHECK!$I$25="X","",IF(CHECK!$I$27="X","",IF(CHECK!$I$29="X","",IF(CHECK!$I$32="X","",IF(CHECK!$I$35="X","",IF(CHECK!$I$37="X","",RESUMO!G35)))))))</f>
        <v>1466688.6099999999</v>
      </c>
    </row>
    <row r="181" spans="37:39" ht="14.25">
      <c r="AK181" s="286">
        <f>IF(CHECK!$I$23="X","",IF(CHECK!$I$25="X","",IF(CHECK!$I$27="X","",IF(CHECK!$I$29="X","",IF(CHECK!$I$32="X","",IF(CHECK!$I$35="X","",IF(CHECK!$I$37="X","",RESUMO!E50)))))))</f>
        <v>6212762.09</v>
      </c>
      <c r="AL181" s="286">
        <f>IF(CHECK!$I$23="X","",IF(CHECK!$I$25="X","",IF(CHECK!$I$27="X","",IF(CHECK!$I$29="X","",IF(CHECK!$I$32="X","",IF(CHECK!$I$35="X","",IF(CHECK!$I$37="X","",RESUMO!F50)))))))</f>
        <v>6212762.09</v>
      </c>
      <c r="AM181" s="286">
        <f>IF(CHECK!$I$23="X","",IF(CHECK!$I$25="X","",IF(CHECK!$I$27="X","",IF(CHECK!$I$29="X","",IF(CHECK!$I$32="X","",IF(CHECK!$I$35="X","",IF(CHECK!$I$37="X","",RESUMO!G50)))))))</f>
        <v>6105977.050000001</v>
      </c>
    </row>
    <row r="182" spans="37:39" ht="14.25">
      <c r="AK182" s="286">
        <f>IF(CHECK!$I$23="X","",IF(CHECK!$I$25="X","",IF(CHECK!$I$27="X","",IF(CHECK!$I$29="X","",IF(CHECK!$I$32="X","",IF(CHECK!$I$35="X","",IF(CHECK!$I$37="X","",RESUMO!E53+RESUMO!E54)))))))</f>
        <v>7679450.699999999</v>
      </c>
      <c r="AL182" s="286">
        <f>IF(CHECK!$I$23="X","",IF(CHECK!$I$25="X","",IF(CHECK!$I$27="X","",IF(CHECK!$I$29="X","",IF(CHECK!$I$32="X","",IF(CHECK!$I$35="X","",IF(CHECK!$I$37="X","",RESUMO!F53+RESUMO!F54)))))))</f>
        <v>7679450.699999999</v>
      </c>
      <c r="AM182" s="286">
        <f>IF(CHECK!$I$23="X","",IF(CHECK!$I$25="X","",IF(CHECK!$I$27="X","",IF(CHECK!$I$29="X","",IF(CHECK!$I$32="X","",IF(CHECK!$I$35="X","",IF(CHECK!$I$37="X","",RESUMO!G53+RESUMO!G54)))))))</f>
        <v>7572665.66</v>
      </c>
    </row>
    <row r="183" spans="37:39" ht="14.25">
      <c r="AK183" s="228">
        <f>IF(CHECK!$I$23="X","",IF(CHECK!$I$25="X","",IF(CHECK!$I$27="X","",IF(CHECK!$I$29="X","",IF(CHECK!$I$32="X","",IF(CHECK!$I$35="X","",IF(CHECK!$I$37="X","",IF((RESUMO!$G$14-RESUMO!$G$16)&gt;0,RESUMO!$G$14-RESUMO!$G$16,0))))))))</f>
        <v>0</v>
      </c>
      <c r="AL183" s="228">
        <f>IF(CHECK!$I$23="X","",IF(CHECK!$I$25="X","",IF(CHECK!$I$27="X","",IF(CHECK!$I$29="X","",IF(CHECK!$I$32="X","",IF(CHECK!$I$35="X","",IF(CHECK!$I$37="X","",IF((RESUMO!$G$14-RESUMO!$G$16)&gt;0,RESUMO!$G$14-RESUMO!$G$16,0))))))))</f>
        <v>0</v>
      </c>
      <c r="AM183" s="228">
        <f>IF(CHECK!$I$23="X","",IF(CHECK!$I$25="X","",IF(CHECK!$I$27="X","",IF(CHECK!$I$29="X","",IF(CHECK!$I$32="X","",IF(CHECK!$I$35="X","",IF(CHECK!$I$37="X","",IF((RESUMO!$G$14-RESUMO!$G$16)&gt;0,RESUMO!$G$14-RESUMO!$G$16,0))))))))</f>
        <v>0</v>
      </c>
    </row>
    <row r="184" spans="37:39" ht="14.25">
      <c r="AK184" s="286">
        <f>IF(CHECK!$I$23="X","",IF(CHECK!$I$25="X","",IF(CHECK!$I$27="X","",IF(CHECK!$I$29="X","",IF(CHECK!$I$32="X","",IF(CHECK!$I$35="X","",IF(CHECK!$I$37="X","",LOGICA!AK59)))))))</f>
        <v>3745723.7899999996</v>
      </c>
      <c r="AL184" s="286">
        <f>IF(CHECK!$I$23="X","",IF(CHECK!$I$25="X","",IF(CHECK!$I$27="X","",IF(CHECK!$I$29="X","",IF(CHECK!$I$32="X","",IF(CHECK!$I$35="X","",IF(CHECK!$I$37="X","",LOGICA!AK66)))))))</f>
        <v>3745723.7899999996</v>
      </c>
      <c r="AM184" s="286">
        <f>IF(CHECK!$I$23="X","",IF(CHECK!$I$25="X","",IF(CHECK!$I$27="X","",IF(CHECK!$I$29="X","",IF(CHECK!$I$32="X","",IF(CHECK!$I$35="X","",IF(CHECK!$I$37="X","",LOGICA!AK73)))))))</f>
        <v>3638938.7500000005</v>
      </c>
    </row>
    <row r="185" spans="37:39" ht="14.25">
      <c r="AK185" s="286">
        <f>IF(CHECK!$I$23="X","",IF(CHECK!$I$25="X","",IF(CHECK!$I$27="X","",IF(CHECK!$I$29="X","",IF(CHECK!$I$32="X","",IF(CHECK!$I$35="X","",IF(CHECK!$I$37="X","",RESUMO!E55+RESUMO!E56-RESUMO!E57)))))))</f>
        <v>3933726.9099999997</v>
      </c>
      <c r="AL185" s="286">
        <f>IF(CHECK!$I$23="X","",IF(CHECK!$I$25="X","",IF(CHECK!$I$27="X","",IF(CHECK!$I$29="X","",IF(CHECK!$I$32="X","",IF(CHECK!$I$35="X","",IF(CHECK!$I$37="X","",RESUMO!F55+RESUMO!F56-RESUMO!F57)))))))</f>
        <v>3933726.9099999997</v>
      </c>
      <c r="AM185" s="286">
        <f>IF(CHECK!$I$23="X","",IF(CHECK!$I$25="X","",IF(CHECK!$I$27="X","",IF(CHECK!$I$29="X","",IF(CHECK!$I$32="X","",IF(CHECK!$I$35="X","",IF(CHECK!$I$37="X","",RESUMO!G55+RESUMO!G56-RESUMO!G57)))))))</f>
        <v>3933726.9099999997</v>
      </c>
    </row>
    <row r="186" spans="37:39" ht="14.25">
      <c r="AK186" s="286">
        <f>IF(CHECK!$I$23="X","",IF(CHECK!$I$25="X","",IF(CHECK!$I$27="X","",IF(CHECK!$I$29="X","",IF(CHECK!$I$32="X","",IF(CHECK!$I$35="X","",IF(CHECK!$I$37="X","",RESUMO!E58/RESUMO!$G$10)))))))</f>
        <v>0.27235536980217573</v>
      </c>
      <c r="AL186" s="286">
        <f>IF(CHECK!$I$23="X","",IF(CHECK!$I$25="X","",IF(CHECK!$I$27="X","",IF(CHECK!$I$29="X","",IF(CHECK!$I$32="X","",IF(CHECK!$I$35="X","",IF(CHECK!$I$37="X","",RESUMO!F58/RESUMO!$G$10)))))))</f>
        <v>0.27235536980217573</v>
      </c>
      <c r="AM186" s="286">
        <f>IF(CHECK!$I$23="X","",IF(CHECK!$I$25="X","",IF(CHECK!$I$27="X","",IF(CHECK!$I$29="X","",IF(CHECK!$I$32="X","",IF(CHECK!$I$35="X","",IF(CHECK!$I$37="X","",RESUMO!G58/RESUMO!$G$10)))))))</f>
        <v>0.27235536980217573</v>
      </c>
    </row>
    <row r="190" ht="12.75">
      <c r="AK190" t="s">
        <v>1007</v>
      </c>
    </row>
    <row r="191" spans="36:37" ht="12.75">
      <c r="AJ191" t="s">
        <v>155</v>
      </c>
      <c r="AK191">
        <f>IF((ADMERFUND!D$54+INJAESP!D$58)=0,"",IF((ADMERFUND!$H$54+INJAESP!$H$58)=0,"X",""))</f>
      </c>
    </row>
    <row r="192" spans="36:37" ht="12.75">
      <c r="AJ192" t="s">
        <v>156</v>
      </c>
      <c r="AK192">
        <f>IF((ADMERFUND!E$54+INJAESP!E$58)=0,"",IF((ADMERFUND!$H$54+INJAESP!$H$58)=0,"X",""))</f>
      </c>
    </row>
    <row r="193" spans="36:37" ht="12.75">
      <c r="AJ193" t="s">
        <v>157</v>
      </c>
      <c r="AK193">
        <f>IF((ADMERFUND!F$54+INJAESP!F$58)=0,"",IF((ADMERFUND!$H$54+INJAESP!$H$58)=0,"X",""))</f>
      </c>
    </row>
    <row r="194" spans="36:37" ht="12.75">
      <c r="AJ194" t="s">
        <v>158</v>
      </c>
      <c r="AK194">
        <f>IF((ADMERFUND!G$54+INJAESP!G$58)=0,"",IF((ADMERFUND!$H$54+INJAESP!$H$58)=0,"X",""))</f>
      </c>
    </row>
    <row r="196" ht="12.75">
      <c r="AK196" t="s">
        <v>1008</v>
      </c>
    </row>
    <row r="197" spans="36:37" ht="12.75">
      <c r="AJ197" t="s">
        <v>155</v>
      </c>
      <c r="AK197">
        <f>IF((ADMERFUND!D$54+INJAESP!D$58)=0,"",IF((ADMERFUND!$I$54+INJAESP!$I$58)=0,"X",""))</f>
      </c>
    </row>
    <row r="198" spans="36:37" ht="12.75">
      <c r="AJ198" t="s">
        <v>156</v>
      </c>
      <c r="AK198">
        <f>IF((ADMERFUND!E$54+INJAESP!E$58)=0,"",IF((ADMERFUND!$I$54+INJAESP!$I$58)=0,"X",""))</f>
      </c>
    </row>
    <row r="199" spans="36:37" ht="12.75">
      <c r="AJ199" t="s">
        <v>157</v>
      </c>
      <c r="AK199">
        <f>IF((ADMERFUND!F$54+INJAESP!F$58)=0,"",IF((ADMERFUND!$I$54+INJAESP!$I$58)=0,"X",""))</f>
      </c>
    </row>
    <row r="200" spans="36:37" ht="12.75">
      <c r="AJ200" t="s">
        <v>158</v>
      </c>
      <c r="AK200">
        <f>IF((ADMERFUND!G$54+INJAESP!G$58)=0,"",IF((ADMERFUND!$I$54+INJAESP!$I$58)=0,"X",""))</f>
      </c>
    </row>
    <row r="202" ht="12.75">
      <c r="AK202" t="str">
        <f>IF(FINANCEIRO!J27&lt;=0,"NÃO HÁ RESTOS A PAGAR","TOTAL DE RESTOS A PAGAR PROCESSADOS E NÃO PROCESSADOS")</f>
        <v>NÃO HÁ RESTOS A PAGAR</v>
      </c>
    </row>
    <row r="203" ht="12.75">
      <c r="AK203" t="str">
        <f>IF(FINANCEIRO!J29=0,"NÃO HÁ SALDO FINANCEIRO A APLICAR",IF(FINANCEIRO!J29&gt;0,"SALDO FINANCEIRO DISPONÍVEL A APLICAR","RESTOS A PAGAR PROCESSADOS E NÃO PROCESSADOS SEM LASTRO FINANCEIRO"))</f>
        <v>SALDO FINANCEIRO DISPONÍVEL A APLICAR</v>
      </c>
    </row>
    <row r="205" ht="12.75">
      <c r="AK205" t="str">
        <f>IF(FINANCEIRO!J37&gt;0,"TOTAL DE RESTOS A PAGAR PROCESSADOS","NÃO HÁ RESTOS A PAGAR PROCESSADOS")</f>
        <v>NÃO HÁ RESTOS A PAGAR PROCESSADOS</v>
      </c>
    </row>
    <row r="206" ht="12.75">
      <c r="AK206" t="str">
        <f>IF(FINANCEIRO!J39=0,"NÃO HÁ SALDO FINANCEIRO",IF(FINANCEIRO!J39&gt;0,"SALDO FINANCEIRO DISPONÍVEL PARA COBERTURA DE RESTOS A PAGAR NÃO PROCESSADOS","RESTOS A PAGAR PROCESSADOS SEM LASTRO FINANCEIRO"))</f>
        <v>SALDO FINANCEIRO DISPONÍVEL PARA COBERTURA DE RESTOS A PAGAR NÃO PROCESSADOS</v>
      </c>
    </row>
  </sheetData>
  <sheetProtection password="DEF0" sheet="1" objects="1" scenarios="1"/>
  <mergeCells count="2">
    <mergeCell ref="AB2:AF2"/>
    <mergeCell ref="AB12:AG12"/>
  </mergeCells>
  <printOptions/>
  <pageMargins left="0.75" right="0.75" top="1" bottom="1" header="0.492125985" footer="0.492125985"/>
  <pageSetup horizontalDpi="360" verticalDpi="360" orientation="landscape" paperSize="9" scale="80" r:id="rId1"/>
</worksheet>
</file>

<file path=xl/worksheets/sheet2.xml><?xml version="1.0" encoding="utf-8"?>
<worksheet xmlns="http://schemas.openxmlformats.org/spreadsheetml/2006/main" xmlns:r="http://schemas.openxmlformats.org/officeDocument/2006/relationships">
  <sheetPr codeName="Plan1">
    <pageSetUpPr fitToPage="1"/>
  </sheetPr>
  <dimension ref="A1:R23"/>
  <sheetViews>
    <sheetView showGridLines="0" showRowColHeaders="0" zoomScalePageLayoutView="0" workbookViewId="0" topLeftCell="A1">
      <selection activeCell="A1" sqref="A1"/>
    </sheetView>
  </sheetViews>
  <sheetFormatPr defaultColWidth="0" defaultRowHeight="12.75"/>
  <cols>
    <col min="1" max="1" width="0.71875" style="121" customWidth="1"/>
    <col min="2" max="2" width="8.7109375" style="121" customWidth="1"/>
    <col min="3" max="3" width="0.71875" style="121" customWidth="1"/>
    <col min="4" max="4" width="2.7109375" style="121" customWidth="1"/>
    <col min="5" max="5" width="9.7109375" style="121" customWidth="1"/>
    <col min="6" max="6" width="6.00390625" style="121" customWidth="1"/>
    <col min="7" max="7" width="23.7109375" style="121" customWidth="1"/>
    <col min="8" max="8" width="5.8515625" style="121" customWidth="1"/>
    <col min="9" max="9" width="20.00390625" style="121" customWidth="1"/>
    <col min="10" max="10" width="10.140625" style="121" customWidth="1"/>
    <col min="11" max="11" width="0.71875" style="121" customWidth="1"/>
    <col min="12" max="13" width="5.00390625" style="121" customWidth="1"/>
    <col min="14" max="14" width="4.7109375" style="121" customWidth="1"/>
    <col min="15" max="15" width="0.71875" style="121" customWidth="1"/>
    <col min="16" max="18" width="10.7109375" style="121" customWidth="1"/>
    <col min="19" max="19" width="9.8515625" style="121" customWidth="1"/>
    <col min="20" max="16384" width="0" style="121" hidden="1" customWidth="1"/>
  </cols>
  <sheetData>
    <row r="1" spans="1:16" ht="4.5" customHeight="1">
      <c r="A1" s="320"/>
      <c r="B1" s="320"/>
      <c r="C1" s="320"/>
      <c r="D1" s="320"/>
      <c r="E1" s="320"/>
      <c r="F1" s="320"/>
      <c r="G1" s="320"/>
      <c r="H1" s="320"/>
      <c r="I1" s="320"/>
      <c r="J1" s="320"/>
      <c r="K1" s="320"/>
      <c r="L1" s="320"/>
      <c r="M1" s="320"/>
      <c r="N1" s="320"/>
      <c r="O1" s="320"/>
      <c r="P1" s="320"/>
    </row>
    <row r="2" spans="1:18" ht="15" customHeight="1">
      <c r="A2" s="320"/>
      <c r="B2" s="321"/>
      <c r="C2" s="321"/>
      <c r="D2" s="322"/>
      <c r="E2" s="322"/>
      <c r="F2" s="322"/>
      <c r="G2" s="323"/>
      <c r="H2" s="323"/>
      <c r="I2" s="323"/>
      <c r="J2" s="323"/>
      <c r="K2" s="323"/>
      <c r="L2" s="323"/>
      <c r="M2" s="323"/>
      <c r="N2" s="323"/>
      <c r="O2" s="323"/>
      <c r="P2" s="323"/>
      <c r="Q2" s="324"/>
      <c r="R2" s="324"/>
    </row>
    <row r="3" spans="1:18" ht="9.75" customHeight="1">
      <c r="A3" s="320"/>
      <c r="B3" s="321"/>
      <c r="C3" s="321"/>
      <c r="D3" s="321"/>
      <c r="E3" s="588" t="s">
        <v>109</v>
      </c>
      <c r="F3" s="588"/>
      <c r="G3" s="588"/>
      <c r="H3" s="588"/>
      <c r="I3" s="588"/>
      <c r="J3" s="588"/>
      <c r="K3" s="588"/>
      <c r="L3" s="588"/>
      <c r="M3" s="588"/>
      <c r="N3" s="588"/>
      <c r="O3" s="588"/>
      <c r="P3" s="588"/>
      <c r="Q3" s="325"/>
      <c r="R3" s="325"/>
    </row>
    <row r="4" spans="1:18" ht="9.75" customHeight="1">
      <c r="A4" s="320"/>
      <c r="B4" s="321"/>
      <c r="C4" s="321"/>
      <c r="D4" s="321"/>
      <c r="E4" s="588"/>
      <c r="F4" s="588"/>
      <c r="G4" s="588"/>
      <c r="H4" s="588"/>
      <c r="I4" s="588"/>
      <c r="J4" s="588"/>
      <c r="K4" s="588"/>
      <c r="L4" s="588"/>
      <c r="M4" s="588"/>
      <c r="N4" s="588"/>
      <c r="O4" s="588"/>
      <c r="P4" s="588"/>
      <c r="Q4" s="325"/>
      <c r="R4" s="325"/>
    </row>
    <row r="5" spans="1:18" ht="9.75" customHeight="1">
      <c r="A5" s="320"/>
      <c r="B5" s="326"/>
      <c r="C5" s="326"/>
      <c r="D5" s="326"/>
      <c r="E5" s="589"/>
      <c r="F5" s="589"/>
      <c r="G5" s="589"/>
      <c r="H5" s="589"/>
      <c r="I5" s="589"/>
      <c r="J5" s="589"/>
      <c r="K5" s="589"/>
      <c r="L5" s="589"/>
      <c r="M5" s="589"/>
      <c r="N5" s="589"/>
      <c r="O5" s="589"/>
      <c r="P5" s="589"/>
      <c r="Q5" s="327"/>
      <c r="R5" s="327"/>
    </row>
    <row r="6" spans="1:18" ht="19.5" customHeight="1">
      <c r="A6" s="320"/>
      <c r="B6" s="326"/>
      <c r="C6" s="326"/>
      <c r="D6" s="326"/>
      <c r="E6" s="590" t="s">
        <v>28</v>
      </c>
      <c r="F6" s="590"/>
      <c r="G6" s="590"/>
      <c r="H6" s="590"/>
      <c r="I6" s="590"/>
      <c r="J6" s="590"/>
      <c r="K6" s="590"/>
      <c r="L6" s="590"/>
      <c r="M6" s="590"/>
      <c r="N6" s="590"/>
      <c r="O6" s="590"/>
      <c r="P6" s="590"/>
      <c r="Q6" s="328"/>
      <c r="R6" s="328"/>
    </row>
    <row r="7" spans="1:18" ht="7.5" customHeight="1">
      <c r="A7" s="320"/>
      <c r="B7" s="326"/>
      <c r="C7" s="326"/>
      <c r="D7" s="326"/>
      <c r="E7" s="329"/>
      <c r="F7" s="329"/>
      <c r="G7" s="329"/>
      <c r="H7" s="329"/>
      <c r="I7" s="329"/>
      <c r="J7" s="329"/>
      <c r="K7" s="329"/>
      <c r="L7" s="329"/>
      <c r="M7" s="329"/>
      <c r="N7" s="329"/>
      <c r="O7" s="329"/>
      <c r="P7" s="329"/>
      <c r="Q7" s="330"/>
      <c r="R7" s="330"/>
    </row>
    <row r="8" spans="1:18" ht="4.5" customHeight="1">
      <c r="A8" s="320"/>
      <c r="B8" s="326"/>
      <c r="C8" s="326"/>
      <c r="D8" s="326"/>
      <c r="E8" s="290"/>
      <c r="F8" s="290"/>
      <c r="G8" s="290"/>
      <c r="H8" s="290"/>
      <c r="I8" s="290"/>
      <c r="J8" s="290"/>
      <c r="K8" s="290"/>
      <c r="L8" s="290"/>
      <c r="M8" s="290"/>
      <c r="N8" s="290"/>
      <c r="O8" s="290"/>
      <c r="P8" s="290"/>
      <c r="Q8" s="327"/>
      <c r="R8" s="327"/>
    </row>
    <row r="9" spans="1:18" ht="21" customHeight="1">
      <c r="A9" s="320"/>
      <c r="B9" s="326"/>
      <c r="C9" s="326"/>
      <c r="D9" s="592" t="s">
        <v>1185</v>
      </c>
      <c r="E9" s="592"/>
      <c r="F9" s="592"/>
      <c r="G9" s="592"/>
      <c r="H9" s="592"/>
      <c r="I9" s="592"/>
      <c r="J9" s="592"/>
      <c r="K9" s="592"/>
      <c r="L9" s="592"/>
      <c r="M9" s="592"/>
      <c r="N9" s="592"/>
      <c r="O9" s="592"/>
      <c r="P9" s="592"/>
      <c r="Q9" s="331"/>
      <c r="R9" s="331"/>
    </row>
    <row r="10" spans="1:18" ht="15" customHeight="1">
      <c r="A10" s="320"/>
      <c r="B10" s="326"/>
      <c r="C10" s="326"/>
      <c r="D10" s="591"/>
      <c r="E10" s="591"/>
      <c r="F10" s="591"/>
      <c r="G10" s="591"/>
      <c r="H10" s="591"/>
      <c r="I10" s="591"/>
      <c r="J10" s="591"/>
      <c r="K10" s="591"/>
      <c r="L10" s="591"/>
      <c r="M10" s="591"/>
      <c r="N10" s="591"/>
      <c r="O10" s="591"/>
      <c r="P10" s="591"/>
      <c r="Q10" s="332"/>
      <c r="R10" s="332"/>
    </row>
    <row r="11" spans="1:18" ht="3" customHeight="1">
      <c r="A11" s="320"/>
      <c r="B11" s="321"/>
      <c r="C11" s="333"/>
      <c r="D11" s="334"/>
      <c r="E11" s="335"/>
      <c r="F11" s="334"/>
      <c r="G11" s="334"/>
      <c r="H11" s="334"/>
      <c r="I11" s="334"/>
      <c r="J11" s="334"/>
      <c r="K11" s="334"/>
      <c r="L11" s="334"/>
      <c r="M11" s="334"/>
      <c r="N11" s="334"/>
      <c r="O11" s="334"/>
      <c r="P11" s="336"/>
      <c r="Q11" s="293"/>
      <c r="R11" s="293"/>
    </row>
    <row r="12" spans="1:18" ht="9.75" customHeight="1">
      <c r="A12" s="320"/>
      <c r="B12" s="321"/>
      <c r="C12" s="334"/>
      <c r="D12" s="349"/>
      <c r="E12" s="350"/>
      <c r="F12" s="351"/>
      <c r="G12" s="351"/>
      <c r="H12" s="351"/>
      <c r="I12" s="351"/>
      <c r="J12" s="351"/>
      <c r="K12" s="352"/>
      <c r="L12" s="352"/>
      <c r="M12" s="352"/>
      <c r="N12" s="352"/>
      <c r="O12" s="334"/>
      <c r="P12" s="336"/>
      <c r="Q12" s="293"/>
      <c r="R12" s="293"/>
    </row>
    <row r="13" spans="1:18" ht="22.5" customHeight="1">
      <c r="A13" s="320"/>
      <c r="B13" s="321"/>
      <c r="C13" s="334"/>
      <c r="D13" s="349"/>
      <c r="E13" s="353" t="s">
        <v>208</v>
      </c>
      <c r="F13" s="364"/>
      <c r="G13" s="354"/>
      <c r="H13" s="351"/>
      <c r="I13" s="351"/>
      <c r="J13" s="351"/>
      <c r="K13" s="352"/>
      <c r="L13" s="352"/>
      <c r="M13" s="352"/>
      <c r="N13" s="352"/>
      <c r="O13" s="334"/>
      <c r="P13" s="336"/>
      <c r="Q13" s="293"/>
      <c r="R13" s="293"/>
    </row>
    <row r="14" spans="1:18" ht="22.5" customHeight="1">
      <c r="A14" s="320"/>
      <c r="B14" s="321"/>
      <c r="C14" s="334"/>
      <c r="D14" s="349"/>
      <c r="E14" s="355" t="s">
        <v>209</v>
      </c>
      <c r="F14" s="474"/>
      <c r="G14" s="356"/>
      <c r="H14" s="356"/>
      <c r="I14" s="356"/>
      <c r="J14" s="474"/>
      <c r="K14" s="352"/>
      <c r="L14" s="352"/>
      <c r="M14" s="352"/>
      <c r="N14" s="352"/>
      <c r="O14" s="334"/>
      <c r="P14" s="336"/>
      <c r="Q14" s="293"/>
      <c r="R14" s="293"/>
    </row>
    <row r="15" spans="1:18" ht="22.5" customHeight="1">
      <c r="A15" s="320"/>
      <c r="B15" s="321"/>
      <c r="C15" s="334"/>
      <c r="D15" s="357"/>
      <c r="E15" s="475" t="s">
        <v>210</v>
      </c>
      <c r="F15" s="364"/>
      <c r="G15" s="357"/>
      <c r="H15" s="358"/>
      <c r="I15" s="358"/>
      <c r="J15" s="364"/>
      <c r="K15" s="352"/>
      <c r="L15" s="352"/>
      <c r="M15" s="352"/>
      <c r="N15" s="352"/>
      <c r="O15" s="334"/>
      <c r="P15" s="336"/>
      <c r="Q15" s="293"/>
      <c r="R15" s="293"/>
    </row>
    <row r="16" spans="1:18" ht="22.5" customHeight="1">
      <c r="A16" s="320"/>
      <c r="B16" s="321"/>
      <c r="C16" s="334"/>
      <c r="D16" s="359" t="s">
        <v>1110</v>
      </c>
      <c r="E16" s="353" t="s">
        <v>212</v>
      </c>
      <c r="F16" s="353"/>
      <c r="G16" s="360"/>
      <c r="H16" s="361"/>
      <c r="I16" s="361"/>
      <c r="J16" s="364"/>
      <c r="K16" s="352"/>
      <c r="L16" s="352"/>
      <c r="M16" s="352"/>
      <c r="N16" s="352"/>
      <c r="O16" s="334"/>
      <c r="P16" s="336"/>
      <c r="Q16" s="293"/>
      <c r="R16" s="293"/>
    </row>
    <row r="17" spans="1:18" ht="22.5" customHeight="1">
      <c r="A17" s="320"/>
      <c r="B17" s="321"/>
      <c r="C17" s="334"/>
      <c r="D17" s="349"/>
      <c r="E17" s="353" t="s">
        <v>213</v>
      </c>
      <c r="F17" s="364"/>
      <c r="G17" s="362"/>
      <c r="H17" s="351"/>
      <c r="I17" s="351"/>
      <c r="J17" s="363"/>
      <c r="K17" s="352"/>
      <c r="L17" s="352"/>
      <c r="M17" s="352"/>
      <c r="N17" s="352"/>
      <c r="O17" s="334"/>
      <c r="P17" s="336"/>
      <c r="Q17" s="293"/>
      <c r="R17" s="293"/>
    </row>
    <row r="18" spans="1:18" ht="22.5" customHeight="1">
      <c r="A18" s="320"/>
      <c r="B18" s="321"/>
      <c r="C18" s="334"/>
      <c r="D18" s="349"/>
      <c r="E18" s="353" t="s">
        <v>214</v>
      </c>
      <c r="F18" s="353"/>
      <c r="G18" s="362"/>
      <c r="H18" s="351"/>
      <c r="I18" s="364"/>
      <c r="J18" s="363"/>
      <c r="K18" s="352"/>
      <c r="L18" s="352"/>
      <c r="M18" s="352"/>
      <c r="N18" s="352"/>
      <c r="O18" s="334"/>
      <c r="P18" s="336"/>
      <c r="Q18" s="293"/>
      <c r="R18" s="293"/>
    </row>
    <row r="19" spans="1:18" ht="9.75" customHeight="1">
      <c r="A19" s="320"/>
      <c r="B19" s="337"/>
      <c r="C19" s="334"/>
      <c r="D19" s="349"/>
      <c r="E19" s="350"/>
      <c r="F19" s="353"/>
      <c r="G19" s="351"/>
      <c r="H19" s="351"/>
      <c r="I19" s="351"/>
      <c r="J19" s="351"/>
      <c r="K19" s="352"/>
      <c r="L19" s="352"/>
      <c r="M19" s="352"/>
      <c r="N19" s="352"/>
      <c r="O19" s="334"/>
      <c r="P19" s="336"/>
      <c r="Q19" s="293"/>
      <c r="R19" s="293"/>
    </row>
    <row r="20" spans="1:18" ht="9.75" customHeight="1">
      <c r="A20" s="320"/>
      <c r="B20" s="337"/>
      <c r="C20" s="334"/>
      <c r="D20" s="349"/>
      <c r="E20" s="350"/>
      <c r="F20" s="351"/>
      <c r="G20" s="351"/>
      <c r="H20" s="351"/>
      <c r="I20" s="351"/>
      <c r="J20" s="351"/>
      <c r="K20" s="352"/>
      <c r="L20" s="352"/>
      <c r="M20" s="352"/>
      <c r="N20" s="352"/>
      <c r="O20" s="334"/>
      <c r="P20" s="336"/>
      <c r="Q20" s="293"/>
      <c r="R20" s="293"/>
    </row>
    <row r="21" spans="1:18" ht="3" customHeight="1">
      <c r="A21" s="320"/>
      <c r="B21" s="321"/>
      <c r="C21" s="333"/>
      <c r="D21" s="334"/>
      <c r="E21" s="335"/>
      <c r="F21" s="334"/>
      <c r="G21" s="334"/>
      <c r="H21" s="334"/>
      <c r="I21" s="334"/>
      <c r="J21" s="334"/>
      <c r="K21" s="334"/>
      <c r="L21" s="334"/>
      <c r="M21" s="334"/>
      <c r="N21" s="334"/>
      <c r="O21" s="334"/>
      <c r="P21" s="336"/>
      <c r="Q21" s="293"/>
      <c r="R21" s="293"/>
    </row>
    <row r="22" spans="1:18" ht="34.5" customHeight="1">
      <c r="A22" s="320"/>
      <c r="B22" s="338"/>
      <c r="C22" s="338"/>
      <c r="D22" s="338"/>
      <c r="E22" s="292"/>
      <c r="F22" s="339"/>
      <c r="G22" s="339"/>
      <c r="H22" s="340"/>
      <c r="I22" s="339"/>
      <c r="J22" s="586"/>
      <c r="K22" s="587"/>
      <c r="L22" s="587"/>
      <c r="M22" s="587"/>
      <c r="N22" s="587"/>
      <c r="O22" s="338"/>
      <c r="P22" s="338"/>
      <c r="Q22" s="341"/>
      <c r="R22" s="341"/>
    </row>
    <row r="23" spans="1:18" ht="2.25" customHeight="1">
      <c r="A23" s="320"/>
      <c r="B23" s="342"/>
      <c r="C23" s="342"/>
      <c r="D23" s="342"/>
      <c r="E23" s="342"/>
      <c r="F23" s="342"/>
      <c r="G23" s="342"/>
      <c r="H23" s="342"/>
      <c r="I23" s="342"/>
      <c r="J23" s="342"/>
      <c r="K23" s="342"/>
      <c r="L23" s="342"/>
      <c r="M23" s="342"/>
      <c r="N23" s="342"/>
      <c r="O23" s="342"/>
      <c r="P23" s="342"/>
      <c r="Q23" s="343"/>
      <c r="R23" s="343"/>
    </row>
  </sheetData>
  <sheetProtection password="DEF0" sheet="1" objects="1" scenarios="1"/>
  <mergeCells count="6">
    <mergeCell ref="J22:N22"/>
    <mergeCell ref="E3:P4"/>
    <mergeCell ref="E5:P5"/>
    <mergeCell ref="E6:P6"/>
    <mergeCell ref="D10:P10"/>
    <mergeCell ref="D9:P9"/>
  </mergeCells>
  <printOptions/>
  <pageMargins left="0.75" right="0.14" top="2.51" bottom="0.91" header="0.492125985" footer="0.492125985"/>
  <pageSetup fitToHeight="1" fitToWidth="1" horizontalDpi="300" verticalDpi="300" orientation="landscape" paperSize="9" r:id="rId3"/>
  <drawing r:id="rId2"/>
  <legacyDrawing r:id="rId1"/>
</worksheet>
</file>

<file path=xl/worksheets/sheet20.xml><?xml version="1.0" encoding="utf-8"?>
<worksheet xmlns="http://schemas.openxmlformats.org/spreadsheetml/2006/main" xmlns:r="http://schemas.openxmlformats.org/officeDocument/2006/relationships">
  <sheetPr codeName="Plan8"/>
  <dimension ref="B2:G114"/>
  <sheetViews>
    <sheetView showGridLines="0" showRowColHeaders="0" zoomScale="75" zoomScaleNormal="75" zoomScalePageLayoutView="0" workbookViewId="0" topLeftCell="A1">
      <selection activeCell="H47" sqref="H47"/>
    </sheetView>
  </sheetViews>
  <sheetFormatPr defaultColWidth="0" defaultRowHeight="12.75"/>
  <cols>
    <col min="1" max="1" width="1.7109375" style="58" customWidth="1"/>
    <col min="2" max="2" width="4.7109375" style="58" customWidth="1"/>
    <col min="3" max="3" width="36.7109375" style="58" customWidth="1"/>
    <col min="4" max="4" width="32.7109375" style="58" customWidth="1"/>
    <col min="5" max="7" width="20.7109375" style="58" customWidth="1"/>
    <col min="8" max="8" width="1.7109375" style="58" customWidth="1"/>
    <col min="9" max="16384" width="0" style="58" hidden="1" customWidth="1"/>
  </cols>
  <sheetData>
    <row r="2" spans="2:7" ht="19.5" customHeight="1">
      <c r="B2" s="860" t="s">
        <v>78</v>
      </c>
      <c r="C2" s="894"/>
      <c r="D2" s="225" t="str">
        <f>COMANDOBLOQUEADO!S19</f>
        <v>CESÁRIO LANGE</v>
      </c>
      <c r="E2" s="248" t="s">
        <v>268</v>
      </c>
      <c r="F2" s="199" t="str">
        <f>COMANDOBLOQUEADO!$U$6</f>
        <v>4º TRIMESTRE</v>
      </c>
      <c r="G2" s="225" t="str">
        <f>COMANDOBLOQUEADO!$Y$6</f>
        <v>2009</v>
      </c>
    </row>
    <row r="3" spans="2:7" ht="19.5" customHeight="1">
      <c r="B3" s="224"/>
      <c r="C3" s="248"/>
      <c r="D3" s="225"/>
      <c r="E3" s="219"/>
      <c r="F3" s="225"/>
      <c r="G3" s="199"/>
    </row>
    <row r="4" spans="2:7" ht="24.75" customHeight="1">
      <c r="B4" s="897" t="s">
        <v>1096</v>
      </c>
      <c r="C4" s="897"/>
      <c r="D4" s="897"/>
      <c r="E4" s="897"/>
      <c r="F4" s="897"/>
      <c r="G4" s="897"/>
    </row>
    <row r="5" spans="2:7" ht="19.5" customHeight="1" thickBot="1">
      <c r="B5" s="898"/>
      <c r="C5" s="898"/>
      <c r="D5" s="836"/>
      <c r="E5" s="836"/>
      <c r="F5" s="836"/>
      <c r="G5" s="836"/>
    </row>
    <row r="6" spans="2:7" ht="19.5" customHeight="1" thickBot="1">
      <c r="B6" s="257" t="s">
        <v>1128</v>
      </c>
      <c r="C6" s="899" t="s">
        <v>1105</v>
      </c>
      <c r="D6" s="753"/>
      <c r="E6" s="753"/>
      <c r="F6" s="754"/>
      <c r="G6" s="230" t="s">
        <v>1127</v>
      </c>
    </row>
    <row r="7" spans="2:7" ht="16.5" customHeight="1">
      <c r="B7" s="82"/>
      <c r="C7" s="845" t="s">
        <v>1106</v>
      </c>
      <c r="D7" s="774"/>
      <c r="E7" s="774"/>
      <c r="F7" s="774"/>
      <c r="G7" s="286">
        <f>IF(CHECK!$I$10="X","",IF(CHECK!$I$12="X","",IF(CHECK!$I$14="X","",IF(CHECK!$I$16="X","",IF(CHECK!$I$18="X","",IF(CHECK!$I$21="X","",LOGICA!$AK$129))))))</f>
        <v>1807937.01</v>
      </c>
    </row>
    <row r="8" spans="2:7" ht="16.5" customHeight="1">
      <c r="B8" s="82"/>
      <c r="C8" s="845" t="s">
        <v>244</v>
      </c>
      <c r="D8" s="774"/>
      <c r="E8" s="774"/>
      <c r="F8" s="774"/>
      <c r="G8" s="286">
        <f>IF(CHECK!$I$10="X","",IF(CHECK!$I$12="X","",IF(CHECK!$I$14="X","",IF(CHECK!$I$16="X","",IF(CHECK!$I$18="X","",IF(CHECK!$I$21="X","",LOGICA!$AK$130))))))</f>
        <v>7096926.949999999</v>
      </c>
    </row>
    <row r="9" spans="2:7" ht="16.5" customHeight="1" thickBot="1">
      <c r="B9" s="73"/>
      <c r="C9" s="804" t="s">
        <v>245</v>
      </c>
      <c r="D9" s="774"/>
      <c r="E9" s="774"/>
      <c r="F9" s="774"/>
      <c r="G9" s="420">
        <f>IF(CHECK!$I$10="X","",IF(CHECK!$I$12="X","",IF(CHECK!$I$14="X","",IF(CHECK!$I$16="X","",IF(CHECK!$I$18="X","",IF(CHECK!$I$21="X","",LOGICA!$AK$131))))))</f>
        <v>5538496.9799999995</v>
      </c>
    </row>
    <row r="10" spans="2:7" ht="19.5" customHeight="1" thickBot="1">
      <c r="B10" s="180"/>
      <c r="C10" s="848" t="s">
        <v>1157</v>
      </c>
      <c r="D10" s="753"/>
      <c r="E10" s="753"/>
      <c r="F10" s="753"/>
      <c r="G10" s="202">
        <f>IF(CHECK!$I$10="X","",IF(CHECK!$I$12="X","",IF(CHECK!$I$14="X","",IF(CHECK!$I$16="X","",IF(CHECK!$I$18="X","",IF(CHECK!$I$21="X","",LOGICA!AK132))))))</f>
        <v>14443360.939999998</v>
      </c>
    </row>
    <row r="11" spans="2:7" ht="16.5" customHeight="1" thickBot="1">
      <c r="B11" s="63"/>
      <c r="C11" s="52"/>
      <c r="D11" s="52"/>
      <c r="E11" s="231"/>
      <c r="F11" s="254"/>
      <c r="G11" s="52"/>
    </row>
    <row r="12" spans="2:7" ht="19.5" customHeight="1" thickBot="1">
      <c r="B12" s="257" t="s">
        <v>1129</v>
      </c>
      <c r="C12" s="900" t="s">
        <v>235</v>
      </c>
      <c r="D12" s="900"/>
      <c r="E12" s="900"/>
      <c r="F12" s="754"/>
      <c r="G12" s="230" t="s">
        <v>1127</v>
      </c>
    </row>
    <row r="13" spans="2:7" s="161" customFormat="1" ht="16.5" customHeight="1">
      <c r="B13" s="208"/>
      <c r="C13" s="901" t="s">
        <v>246</v>
      </c>
      <c r="D13" s="774"/>
      <c r="E13" s="774"/>
      <c r="F13" s="774"/>
      <c r="G13" s="482">
        <f>IF(CHECK!$I$10="X","",IF(CHECK!$I$12="X","",IF(CHECK!$I$14="X","",IF(CHECK!$I$16="X","",IF(CHECK!$I$18="X","",IF(CHECK!$I$21="X","",LOGICA!AK134))))))</f>
        <v>3610840.2349999994</v>
      </c>
    </row>
    <row r="14" spans="2:7" s="161" customFormat="1" ht="16.5" customHeight="1">
      <c r="B14" s="82" t="s">
        <v>1256</v>
      </c>
      <c r="C14" s="804" t="s">
        <v>247</v>
      </c>
      <c r="D14" s="774"/>
      <c r="E14" s="774"/>
      <c r="F14" s="774"/>
      <c r="G14" s="423">
        <f>IF(CHECK!$I$10="X","",IF(CHECK!$I$12="X","",IF(CHECK!$I$14="X","",IF(CHECK!$I$16="X","",IF(CHECK!$I$18="X","",IF(CHECK!$I$21="X","",LOGICA!AK135))))))</f>
        <v>2467038.3000000003</v>
      </c>
    </row>
    <row r="15" spans="2:7" s="256" customFormat="1" ht="19.5" customHeight="1">
      <c r="B15" s="208" t="s">
        <v>1272</v>
      </c>
      <c r="C15" s="623" t="s">
        <v>77</v>
      </c>
      <c r="D15" s="774"/>
      <c r="E15" s="774"/>
      <c r="F15" s="774"/>
      <c r="G15" s="483">
        <f>IF(CHECK!$I$10="X","",IF(CHECK!$I$12="X","",IF(CHECK!$I$14="X","",IF(CHECK!$I$16="X","",IF(CHECK!$I$18="X","",IF(CHECK!$I$21="X","",LOGICA!AK136))))))</f>
        <v>1143801.9349999991</v>
      </c>
    </row>
    <row r="16" spans="2:7" s="161" customFormat="1" ht="16.5" customHeight="1" thickBot="1">
      <c r="B16" s="82"/>
      <c r="C16" s="804" t="s">
        <v>249</v>
      </c>
      <c r="D16" s="773"/>
      <c r="E16" s="773"/>
      <c r="F16" s="773"/>
      <c r="G16" s="420">
        <f>IF(CHECK!$I$10="X","",IF(CHECK!$I$12="X","",IF(CHECK!$I$14="X","",IF(CHECK!$I$16="X","",IF(CHECK!$I$18="X","",IF(CHECK!$I$21="X","",LOGICA!AK137))))))</f>
        <v>6242462.49</v>
      </c>
    </row>
    <row r="17" spans="2:7" s="256" customFormat="1" ht="19.5" customHeight="1" thickBot="1">
      <c r="B17" s="180"/>
      <c r="C17" s="848" t="str">
        <f>IF(G17&gt;0,"GANHO LÍQUIDO DO FUNDEB (PLUS)",IF(G17&lt;0,"PERDA PARA O FUNDEB (VALOR EFETIVAMENTE RETIDO)","NÃO HOUVE GANHO NEM PERDA AO FUNDEB"))</f>
        <v>GANHO LÍQUIDO DO FUNDEB (PLUS)</v>
      </c>
      <c r="D17" s="752"/>
      <c r="E17" s="752"/>
      <c r="F17" s="752"/>
      <c r="G17" s="202">
        <f>IF(CHECK!$I$10="X","",IF(CHECK!$I$12="X","",IF(CHECK!$I$14="X","",IF(CHECK!$I$16="X","",IF(CHECK!$I$18="X","",IF(CHECK!$I$21="X","",LOGICA!AK138))))))</f>
        <v>3775424.19</v>
      </c>
    </row>
    <row r="18" spans="2:7" s="161" customFormat="1" ht="16.5" customHeight="1" thickBot="1">
      <c r="B18" s="63"/>
      <c r="C18" s="52"/>
      <c r="D18" s="52"/>
      <c r="E18" s="52"/>
      <c r="F18" s="254"/>
      <c r="G18" s="254"/>
    </row>
    <row r="19" spans="2:7" ht="19.5" customHeight="1" thickBot="1">
      <c r="B19" s="257" t="s">
        <v>1149</v>
      </c>
      <c r="C19" s="899" t="s">
        <v>1218</v>
      </c>
      <c r="D19" s="753"/>
      <c r="E19" s="753"/>
      <c r="F19" s="754"/>
      <c r="G19" s="230" t="s">
        <v>1127</v>
      </c>
    </row>
    <row r="20" spans="2:7" ht="16.5" customHeight="1">
      <c r="B20" s="82"/>
      <c r="C20" s="903" t="s">
        <v>1148</v>
      </c>
      <c r="D20" s="806"/>
      <c r="E20" s="806"/>
      <c r="F20" s="709"/>
      <c r="G20" s="482">
        <f>IF(CHECK!$I$10="X","",IF(CHECK!$I$12="X","",IF(CHECK!$I$14="X","",IF(CHECK!$I$16="X","",IF(CHECK!$I$18="X","",IF(CHECK!$I$21="X","",LOGICA!AK140))))))</f>
        <v>54296.29</v>
      </c>
    </row>
    <row r="21" spans="2:7" ht="16.5" customHeight="1">
      <c r="B21" s="82"/>
      <c r="C21" s="845" t="s">
        <v>251</v>
      </c>
      <c r="D21" s="572"/>
      <c r="E21" s="572"/>
      <c r="F21" s="711"/>
      <c r="G21" s="286">
        <f>IF(CHECK!$I$10="X","",IF(CHECK!$I$12="X","",IF(CHECK!$I$14="X","",IF(CHECK!$I$16="X","",IF(CHECK!$I$18="X","",IF(CHECK!$I$21="X","",LOGICA!AK141))))))</f>
        <v>1381825.19</v>
      </c>
    </row>
    <row r="22" spans="2:7" ht="16.5" customHeight="1" thickBot="1">
      <c r="B22" s="82"/>
      <c r="C22" s="869" t="s">
        <v>252</v>
      </c>
      <c r="D22" s="808"/>
      <c r="E22" s="808"/>
      <c r="F22" s="905"/>
      <c r="G22" s="420">
        <f>IF(CHECK!$I$10="X","",IF(CHECK!$I$12="X","",IF(CHECK!$I$14="X","",IF(CHECK!$I$16="X","",IF(CHECK!$I$18="X","",IF(CHECK!$I$21="X","",LOGICA!AK142))))))</f>
        <v>0</v>
      </c>
    </row>
    <row r="23" spans="2:7" ht="19.5" customHeight="1" thickBot="1">
      <c r="B23" s="180"/>
      <c r="C23" s="848" t="s">
        <v>1147</v>
      </c>
      <c r="D23" s="753"/>
      <c r="E23" s="753"/>
      <c r="F23" s="754"/>
      <c r="G23" s="202">
        <f>IF(CHECK!$I$10="X","",IF(CHECK!$I$12="X","",IF(CHECK!$I$14="X","",IF(CHECK!$I$16="X","",IF(CHECK!$I$18="X","",IF(CHECK!$I$21="X","",LOGICA!AK143))))))</f>
        <v>1436121.48</v>
      </c>
    </row>
    <row r="24" spans="2:7" ht="16.5" customHeight="1" thickBot="1">
      <c r="B24" s="63"/>
      <c r="C24" s="52"/>
      <c r="D24" s="52"/>
      <c r="E24" s="52"/>
      <c r="F24" s="52"/>
      <c r="G24" s="169"/>
    </row>
    <row r="25" spans="2:7" ht="19.5" customHeight="1" thickBot="1">
      <c r="B25" s="257" t="s">
        <v>1150</v>
      </c>
      <c r="C25" s="181" t="s">
        <v>241</v>
      </c>
      <c r="D25" s="203"/>
      <c r="E25" s="227" t="s">
        <v>1190</v>
      </c>
      <c r="F25" s="227" t="s">
        <v>1212</v>
      </c>
      <c r="G25" s="230" t="s">
        <v>1151</v>
      </c>
    </row>
    <row r="26" spans="2:7" ht="16.5" customHeight="1">
      <c r="B26" s="82"/>
      <c r="C26" s="903" t="s">
        <v>253</v>
      </c>
      <c r="D26" s="904"/>
      <c r="E26" s="484">
        <f>IF(CHECK!$I$10="X","",IF(CHECK!$I$12="X","",IF(CHECK!$I$14="X","",IF(CHECK!$I$16="X","",IF(CHECK!$I$18="X","",IF(CHECK!$I$21="X","",LOGICA!AK145))))))</f>
        <v>0</v>
      </c>
      <c r="F26" s="484">
        <f>IF(CHECK!$I$10="X","",IF(CHECK!$I$12="X","",IF(CHECK!$I$14="X","",IF(CHECK!$I$16="X","",IF(CHECK!$I$18="X","",IF(CHECK!$I$21="X","",LOGICA!AK156))))))</f>
        <v>0</v>
      </c>
      <c r="G26" s="286">
        <f>IF(CHECK!$I$10="X","",IF(CHECK!$I$12="X","",IF(CHECK!$I$14="X","",IF(CHECK!$I$16="X","",IF(CHECK!$I$18="X","",IF(CHECK!$I$21="X","",LOGICA!AL156))))))</f>
        <v>0</v>
      </c>
    </row>
    <row r="27" spans="2:7" ht="16.5" customHeight="1">
      <c r="B27" s="82"/>
      <c r="C27" s="845" t="s">
        <v>254</v>
      </c>
      <c r="D27" s="883"/>
      <c r="E27" s="228">
        <f>IF(CHECK!$I$10="X","",IF(CHECK!$I$12="X","",IF(CHECK!$I$14="X","",IF(CHECK!$I$16="X","",IF(CHECK!$I$18="X","",IF(CHECK!$I$21="X","",LOGICA!AK146))))))</f>
        <v>1809597.94</v>
      </c>
      <c r="F27" s="484">
        <f>IF(CHECK!$I$10="X","",IF(CHECK!$I$12="X","",IF(CHECK!$I$14="X","",IF(CHECK!$I$16="X","",IF(CHECK!$I$18="X","",IF(CHECK!$I$21="X","",LOGICA!AK157))))))</f>
        <v>1809597.94</v>
      </c>
      <c r="G27" s="286">
        <f>IF(CHECK!$I$10="X","",IF(CHECK!$I$12="X","",IF(CHECK!$I$14="X","",IF(CHECK!$I$16="X","",IF(CHECK!$I$18="X","",IF(CHECK!$I$21="X","",LOGICA!AL157))))))</f>
        <v>1809597.94</v>
      </c>
    </row>
    <row r="28" spans="2:7" ht="16.5" customHeight="1">
      <c r="B28" s="82"/>
      <c r="C28" s="845" t="s">
        <v>255</v>
      </c>
      <c r="D28" s="883"/>
      <c r="E28" s="228">
        <f>IF(CHECK!$I$10="X","",IF(CHECK!$I$12="X","",IF(CHECK!$I$14="X","",IF(CHECK!$I$16="X","",IF(CHECK!$I$18="X","",IF(CHECK!$I$21="X","",LOGICA!AK147))))))</f>
        <v>618769.0299999999</v>
      </c>
      <c r="F28" s="484">
        <f>IF(CHECK!$I$10="X","",IF(CHECK!$I$12="X","",IF(CHECK!$I$14="X","",IF(CHECK!$I$16="X","",IF(CHECK!$I$18="X","",IF(CHECK!$I$21="X","",LOGICA!AK158))))))</f>
        <v>618769.0299999999</v>
      </c>
      <c r="G28" s="286">
        <f>IF(CHECK!$I$10="X","",IF(CHECK!$I$12="X","",IF(CHECK!$I$14="X","",IF(CHECK!$I$16="X","",IF(CHECK!$I$18="X","",IF(CHECK!$I$21="X","",LOGICA!AL158))))))</f>
        <v>618769.0299999999</v>
      </c>
    </row>
    <row r="29" spans="2:7" ht="16.5" customHeight="1">
      <c r="B29" s="82"/>
      <c r="C29" s="845" t="s">
        <v>256</v>
      </c>
      <c r="D29" s="883"/>
      <c r="E29" s="228">
        <f>IF(CHECK!$I$10="X","",IF(CHECK!$I$12="X","",IF(CHECK!$I$14="X","",IF(CHECK!$I$16="X","",IF(CHECK!$I$18="X","",IF(CHECK!$I$21="X","",LOGICA!AK148))))))</f>
        <v>0</v>
      </c>
      <c r="F29" s="484">
        <f>IF(CHECK!$I$10="X","",IF(CHECK!$I$12="X","",IF(CHECK!$I$14="X","",IF(CHECK!$I$16="X","",IF(CHECK!$I$18="X","",IF(CHECK!$I$21="X","",LOGICA!AK159))))))</f>
        <v>0</v>
      </c>
      <c r="G29" s="286">
        <f>IF(CHECK!$I$10="X","",IF(CHECK!$I$12="X","",IF(CHECK!$I$14="X","",IF(CHECK!$I$16="X","",IF(CHECK!$I$18="X","",IF(CHECK!$I$21="X","",LOGICA!AL159))))))</f>
        <v>0</v>
      </c>
    </row>
    <row r="30" spans="2:7" ht="16.5" customHeight="1">
      <c r="B30" s="82"/>
      <c r="C30" s="845" t="s">
        <v>257</v>
      </c>
      <c r="D30" s="883"/>
      <c r="E30" s="228">
        <f>IF(CHECK!$I$10="X","",IF(CHECK!$I$12="X","",IF(CHECK!$I$14="X","",IF(CHECK!$I$16="X","",IF(CHECK!$I$18="X","",IF(CHECK!$I$21="X","",LOGICA!AK149))))))</f>
        <v>0</v>
      </c>
      <c r="F30" s="484">
        <f>IF(CHECK!$I$10="X","",IF(CHECK!$I$12="X","",IF(CHECK!$I$14="X","",IF(CHECK!$I$16="X","",IF(CHECK!$I$18="X","",IF(CHECK!$I$21="X","",LOGICA!AK160))))))</f>
        <v>0</v>
      </c>
      <c r="G30" s="286">
        <f>IF(CHECK!$I$10="X","",IF(CHECK!$I$12="X","",IF(CHECK!$I$14="X","",IF(CHECK!$I$16="X","",IF(CHECK!$I$18="X","",IF(CHECK!$I$21="X","",LOGICA!AL160))))))</f>
        <v>0</v>
      </c>
    </row>
    <row r="31" spans="2:7" s="226" customFormat="1" ht="19.5" customHeight="1">
      <c r="B31" s="208" t="s">
        <v>1272</v>
      </c>
      <c r="C31" s="63" t="s">
        <v>802</v>
      </c>
      <c r="D31" s="63"/>
      <c r="E31" s="485">
        <f>IF(CHECK!$I$10="X","",IF(CHECK!$I$12="X","",IF(CHECK!$I$14="X","",IF(CHECK!$I$16="X","",IF(CHECK!$I$18="X","",IF(CHECK!$I$21="X","",LOGICA!AK150))))))</f>
        <v>2428366.9699999997</v>
      </c>
      <c r="F31" s="485">
        <f>IF(CHECK!$I$10="X","",IF(CHECK!$I$12="X","",IF(CHECK!$I$14="X","",IF(CHECK!$I$16="X","",IF(CHECK!$I$18="X","",IF(CHECK!$I$21="X","",LOGICA!AK161))))))</f>
        <v>2428366.9699999997</v>
      </c>
      <c r="G31" s="424">
        <f>IF(CHECK!$I$10="X","",IF(CHECK!$I$12="X","",IF(CHECK!$I$14="X","",IF(CHECK!$I$16="X","",IF(CHECK!$I$18="X","",IF(CHECK!$I$21="X","",LOGICA!AL161))))))</f>
        <v>2428366.9699999997</v>
      </c>
    </row>
    <row r="32" spans="2:7" ht="16.5" customHeight="1">
      <c r="B32" s="82" t="s">
        <v>1256</v>
      </c>
      <c r="C32" s="845" t="s">
        <v>258</v>
      </c>
      <c r="D32" s="883"/>
      <c r="E32" s="228">
        <f>IF(CHECK!$I$10="X","",IF(CHECK!$I$12="X","",IF(CHECK!$I$14="X","",IF(CHECK!$I$16="X","",IF(CHECK!$I$18="X","",IF(CHECK!$I$21="X","",LOGICA!AK151))))))</f>
        <v>0</v>
      </c>
      <c r="F32" s="228">
        <f>IF(CHECK!$I$10="X","",IF(CHECK!$I$12="X","",IF(CHECK!$I$14="X","",IF(CHECK!$I$16="X","",IF(CHECK!$I$18="X","",IF(CHECK!$I$21="X","",LOGICA!AK162))))))</f>
        <v>0</v>
      </c>
      <c r="G32" s="423">
        <f>IF(CHECK!$I$10="X","",IF(CHECK!$I$12="X","",IF(CHECK!$I$14="X","",IF(CHECK!$I$16="X","",IF(CHECK!$I$18="X","",IF(CHECK!$I$21="X","",LOGICA!AL162))))))</f>
        <v>0</v>
      </c>
    </row>
    <row r="33" spans="2:7" ht="16.5" customHeight="1">
      <c r="B33" s="82" t="s">
        <v>1256</v>
      </c>
      <c r="C33" s="845" t="s">
        <v>261</v>
      </c>
      <c r="D33" s="883"/>
      <c r="E33" s="228">
        <f>IF(CHECK!$I$10="X","",IF(CHECK!$I$12="X","",IF(CHECK!$I$14="X","",IF(CHECK!$I$16="X","",IF(CHECK!$I$18="X","",IF(CHECK!$I$21="X","",LOGICA!AK152))))))</f>
        <v>961678.36</v>
      </c>
      <c r="F33" s="228">
        <f>IF(CHECK!$I$10="X","",IF(CHECK!$I$12="X","",IF(CHECK!$I$14="X","",IF(CHECK!$I$16="X","",IF(CHECK!$I$18="X","",IF(CHECK!$I$21="X","",LOGICA!AK163))))))</f>
        <v>961678.36</v>
      </c>
      <c r="G33" s="423">
        <f>IF(CHECK!$I$10="X","",IF(CHECK!$I$12="X","",IF(CHECK!$I$14="X","",IF(CHECK!$I$16="X","",IF(CHECK!$I$18="X","",IF(CHECK!$I$21="X","",LOGICA!AL163))))))</f>
        <v>961678.36</v>
      </c>
    </row>
    <row r="34" spans="2:7" ht="16.5" customHeight="1" thickBot="1">
      <c r="B34" s="82" t="s">
        <v>1256</v>
      </c>
      <c r="C34" s="845" t="s">
        <v>252</v>
      </c>
      <c r="D34" s="883"/>
      <c r="E34" s="486">
        <f>IF(CHECK!$I$10="X","",IF(CHECK!$I$12="X","",IF(CHECK!$I$14="X","",IF(CHECK!$I$16="X","",IF(CHECK!$I$18="X","",IF(CHECK!$I$21="X","",LOGICA!AK153))))))</f>
        <v>0</v>
      </c>
      <c r="F34" s="228">
        <f>IF(CHECK!$I$10="X","",IF(CHECK!$I$12="X","",IF(CHECK!$I$14="X","",IF(CHECK!$I$16="X","",IF(CHECK!$I$18="X","",IF(CHECK!$I$21="X","",LOGICA!AK164))))))</f>
        <v>0</v>
      </c>
      <c r="G34" s="423">
        <f>IF(CHECK!$I$10="X","",IF(CHECK!$I$12="X","",IF(CHECK!$I$14="X","",IF(CHECK!$I$16="X","",IF(CHECK!$I$18="X","",IF(CHECK!$I$21="X","",LOGICA!AL164))))))</f>
        <v>0</v>
      </c>
    </row>
    <row r="35" spans="2:7" s="226" customFormat="1" ht="19.5" customHeight="1" thickBot="1">
      <c r="B35" s="180" t="s">
        <v>1272</v>
      </c>
      <c r="C35" s="181" t="s">
        <v>801</v>
      </c>
      <c r="D35" s="181"/>
      <c r="E35" s="201">
        <f>IF(CHECK!$I$10="X","",IF(CHECK!$I$12="X","",IF(CHECK!$I$14="X","",IF(CHECK!$I$16="X","",IF(CHECK!$I$18="X","",IF(CHECK!$I$21="X","",LOGICA!AK154))))))</f>
        <v>1466688.6099999999</v>
      </c>
      <c r="F35" s="201">
        <f>IF(CHECK!$I$10="X","",IF(CHECK!$I$12="X","",IF(CHECK!$I$14="X","",IF(CHECK!$I$16="X","",IF(CHECK!$I$18="X","",IF(CHECK!$I$21="X","",LOGICA!AK165))))))</f>
        <v>1466688.6099999999</v>
      </c>
      <c r="G35" s="202">
        <f>IF(CHECK!$I$10="X","",IF(CHECK!$I$12="X","",IF(CHECK!$I$14="X","",IF(CHECK!$I$16="X","",IF(CHECK!$I$18="X","",IF(CHECK!$I$21="X","",LOGICA!AL165))))))</f>
        <v>1466688.6099999999</v>
      </c>
    </row>
    <row r="36" spans="2:7" s="226" customFormat="1" ht="16.5" customHeight="1" thickBot="1">
      <c r="B36" s="63"/>
      <c r="C36" s="63"/>
      <c r="D36" s="63"/>
      <c r="E36" s="254"/>
      <c r="F36" s="254"/>
      <c r="G36" s="255"/>
    </row>
    <row r="37" spans="2:7" ht="19.5" customHeight="1" thickBot="1">
      <c r="B37" s="257" t="s">
        <v>1153</v>
      </c>
      <c r="C37" s="181" t="s">
        <v>236</v>
      </c>
      <c r="D37" s="181"/>
      <c r="E37" s="249"/>
      <c r="F37" s="249"/>
      <c r="G37" s="230" t="s">
        <v>250</v>
      </c>
    </row>
    <row r="38" spans="2:7" ht="16.5" customHeight="1">
      <c r="B38" s="247" t="s">
        <v>239</v>
      </c>
      <c r="C38" s="873" t="s">
        <v>237</v>
      </c>
      <c r="D38" s="873"/>
      <c r="E38" s="62"/>
      <c r="F38" s="62"/>
      <c r="G38" s="483">
        <f>IF(CHECK!$I$10="X","",IF(CHECK!$I$12="X","",IF(CHECK!$I$14="X","",IF(CHECK!$I$16="X","",IF(CHECK!$I$18="X","",IF(CHECK!$I$21="X","",LOGICA!AK167))))))</f>
        <v>6327634.34</v>
      </c>
    </row>
    <row r="39" spans="2:7" ht="16.5" customHeight="1">
      <c r="B39" s="247"/>
      <c r="C39" s="845" t="s">
        <v>263</v>
      </c>
      <c r="D39" s="845"/>
      <c r="E39" s="62"/>
      <c r="F39" s="62"/>
      <c r="G39" s="286">
        <f>IF(CHECK!$I$10="X","",IF(CHECK!$I$12="X","",IF(CHECK!$I$14="X","",IF(CHECK!$I$16="X","",IF(CHECK!$I$18="X","",IF(CHECK!$I$21="X","",LOGICA!AK168))))))</f>
        <v>6011252.623</v>
      </c>
    </row>
    <row r="40" spans="2:7" ht="16.5" customHeight="1">
      <c r="B40" s="247"/>
      <c r="C40" s="845" t="str">
        <f>IF(G40="","",IF(G40=0,"Atendimento à aplicação mínima de 95%",IF(G40&gt;0,"Atendimento à aplicação mínima obrigatória. Importância aplicada além dos 95%","Não atendimento à aplicação mínima obrigatória no exercício. Importância aquém dos 95%")))</f>
        <v>Atendimento à aplicação mínima obrigatória. Importância aplicada além dos 95%</v>
      </c>
      <c r="D40" s="845"/>
      <c r="E40" s="547"/>
      <c r="F40" s="906"/>
      <c r="G40" s="286">
        <f>IF(CHECK!$I$10="X","",IF(CHECK!$I$12="X","",IF(CHECK!$I$14="X","",IF(CHECK!$I$16="X","",IF(CHECK!$I$18="X","",IF(CHECK!$I$21="X","",LOGICA!AK169))))))</f>
        <v>286681.3169999998</v>
      </c>
    </row>
    <row r="41" spans="2:7" ht="9.75" customHeight="1" thickBot="1">
      <c r="B41" s="247"/>
      <c r="C41" s="63"/>
      <c r="D41" s="63"/>
      <c r="E41" s="62"/>
      <c r="F41" s="62"/>
      <c r="G41" s="83"/>
    </row>
    <row r="42" spans="2:7" ht="16.5" customHeight="1" thickBot="1">
      <c r="B42" s="247" t="s">
        <v>240</v>
      </c>
      <c r="C42" s="842" t="s">
        <v>238</v>
      </c>
      <c r="D42" s="896"/>
      <c r="E42" s="227" t="s">
        <v>1190</v>
      </c>
      <c r="F42" s="227" t="s">
        <v>1212</v>
      </c>
      <c r="G42" s="230" t="s">
        <v>1151</v>
      </c>
    </row>
    <row r="43" spans="2:7" ht="16.5" customHeight="1">
      <c r="B43" s="258"/>
      <c r="C43" s="842" t="s">
        <v>262</v>
      </c>
      <c r="D43" s="844"/>
      <c r="E43" s="485">
        <f>IF(CHECK!$I$10="X","",IF(CHECK!$I$12="X","",IF(CHECK!$I$14="X","",IF(CHECK!$I$16="X","",IF(CHECK!$I$18="X","",IF(CHECK!$I$21="X","",LOGICA!AK171))))))</f>
        <v>3917126.48</v>
      </c>
      <c r="F43" s="487">
        <f>IF(CHECK!$I$10="X","",IF(CHECK!$I$12="X","",IF(CHECK!$I$14="X","",IF(CHECK!$I$16="X","",IF(CHECK!$I$18="X","",IF(CHECK!$I$21="X","",LOGICA!AL171))))))</f>
        <v>3917126.48</v>
      </c>
      <c r="G43" s="483">
        <f>IF(CHECK!$I$10="X","",IF(CHECK!$I$12="X","",IF(CHECK!$I$14="X","",IF(CHECK!$I$16="X","",IF(CHECK!$I$18="X","",IF(CHECK!$I$21="X","",LOGICA!AM171))))))</f>
        <v>3917126.48</v>
      </c>
    </row>
    <row r="44" spans="2:7" ht="16.5" customHeight="1">
      <c r="B44" s="208"/>
      <c r="C44" s="842" t="str">
        <f>IF(E44="","",IF(E44&gt;=60%,"Atendimento à aplicação mínima obrigatória de 60%","Não atendimento à aplicação mínima obrigatória de 60%"))</f>
        <v>Atendimento à aplicação mínima obrigatória de 60%</v>
      </c>
      <c r="D44" s="896"/>
      <c r="E44" s="479">
        <f>IF(CHECK!$I$10="X","",IF(CHECK!$I$12="X","",IF(CHECK!$I$14="X","",IF(CHECK!$I$16="X","",IF(CHECK!$I$18="X","",IF(CHECK!$I$21="X","",LOGICA!AK172))))))</f>
        <v>0.6190507019721371</v>
      </c>
      <c r="F44" s="479">
        <f>IF(CHECK!$I$10="X","",IF(CHECK!$I$12="X","",IF(CHECK!$I$14="X","",IF(CHECK!$I$16="X","",IF(CHECK!$I$18="X","",IF(CHECK!$I$21="X","",LOGICA!AL172))))))</f>
        <v>0.6190507019721371</v>
      </c>
      <c r="G44" s="480">
        <f>IF(CHECK!$I$10="X","",IF(CHECK!$I$12="X","",IF(CHECK!$I$14="X","",IF(CHECK!$I$16="X","",IF(CHECK!$I$18="X","",IF(CHECK!$I$21="X","",LOGICA!AM172))))))</f>
        <v>0.6190507019721371</v>
      </c>
    </row>
    <row r="45" spans="2:7" ht="16.5" customHeight="1">
      <c r="B45" s="82"/>
      <c r="C45" s="845" t="s">
        <v>1154</v>
      </c>
      <c r="D45" s="883"/>
      <c r="E45" s="488">
        <f>IF(CHECK!$I$10="X","",IF(CHECK!$I$12="X","",IF(CHECK!$I$14="X","",IF(CHECK!$I$16="X","",IF(CHECK!$I$18="X","",IF(CHECK!$I$21="X","",LOGICA!AK173))))))</f>
        <v>2380807.46</v>
      </c>
      <c r="F45" s="488">
        <f>IF(CHECK!$I$10="X","",IF(CHECK!$I$12="X","",IF(CHECK!$I$14="X","",IF(CHECK!$I$16="X","",IF(CHECK!$I$18="X","",IF(CHECK!$I$21="X","",LOGICA!AL173))))))</f>
        <v>2380807.46</v>
      </c>
      <c r="G45" s="489">
        <f>IF(CHECK!$I$10="X","",IF(CHECK!$I$12="X","",IF(CHECK!$I$14="X","",IF(CHECK!$I$16="X","",IF(CHECK!$I$18="X","",IF(CHECK!$I$21="X","",LOGICA!AM173))))))</f>
        <v>2274022.4200000004</v>
      </c>
    </row>
    <row r="46" spans="2:7" ht="16.5" customHeight="1">
      <c r="B46" s="208"/>
      <c r="C46" s="845" t="str">
        <f>IF(E46="","",IF(E46&gt;40%,"Não observada a aplicação máxima de 40%","Observada a aplicação máxima de 40%"))</f>
        <v>Observada a aplicação máxima de 40%</v>
      </c>
      <c r="D46" s="883"/>
      <c r="E46" s="427">
        <f>IF(CHECK!$I$10="X","",IF(CHECK!$I$12="X","",IF(CHECK!$I$14="X","",IF(CHECK!$I$16="X","",IF(CHECK!$I$18="X","",IF(CHECK!$I$21="X","",LOGICA!AK174))))))</f>
        <v>0.37625553754738617</v>
      </c>
      <c r="F46" s="427">
        <f>IF(CHECK!$I$10="X","",IF(CHECK!$I$12="X","",IF(CHECK!$I$14="X","",IF(CHECK!$I$16="X","",IF(CHECK!$I$18="X","",IF(CHECK!$I$21="X","",LOGICA!AL174))))))</f>
        <v>0.37625553754738617</v>
      </c>
      <c r="G46" s="481">
        <f>IF(CHECK!$I$10="X","",IF(CHECK!$I$12="X","",IF(CHECK!$I$14="X","",IF(CHECK!$I$16="X","",IF(CHECK!$I$18="X","",IF(CHECK!$I$21="X","",LOGICA!AM174))))))</f>
        <v>0.35937955605696403</v>
      </c>
    </row>
    <row r="47" spans="2:7" ht="16.5" customHeight="1">
      <c r="B47" s="259" t="s">
        <v>1272</v>
      </c>
      <c r="C47" s="842" t="s">
        <v>1275</v>
      </c>
      <c r="D47" s="896"/>
      <c r="E47" s="485">
        <f>IF(CHECK!$I$10="X","",IF(CHECK!$I$12="X","",IF(CHECK!$I$14="X","",IF(CHECK!$I$16="X","",IF(CHECK!$I$18="X","",IF(CHECK!$I$21="X","",LOGICA!AK175))))))</f>
        <v>6297933.9399999995</v>
      </c>
      <c r="F47" s="485">
        <f>IF(CHECK!$I$10="X","",IF(CHECK!$I$12="X","",IF(CHECK!$I$14="X","",IF(CHECK!$I$16="X","",IF(CHECK!$I$18="X","",IF(CHECK!$I$21="X","",LOGICA!AL175))))))</f>
        <v>6297933.9399999995</v>
      </c>
      <c r="G47" s="424">
        <f>IF(CHECK!$I$10="X","",IF(CHECK!$I$12="X","",IF(CHECK!$I$14="X","",IF(CHECK!$I$16="X","",IF(CHECK!$I$18="X","",IF(CHECK!$I$21="X","",LOGICA!AM175))))))</f>
        <v>6191148.9</v>
      </c>
    </row>
    <row r="48" spans="2:7" ht="16.5" customHeight="1">
      <c r="B48" s="208"/>
      <c r="C48" s="845" t="str">
        <f>IF(E48="","",IF((G38-G47)&lt;=0,"Recursos acumulados integralmente aplicados ","Recursos acumulados não aplicados integralmente"))</f>
        <v>Recursos acumulados não aplicados integralmente</v>
      </c>
      <c r="D48" s="883"/>
      <c r="E48" s="427">
        <f>IF(CHECK!$I$10="X","",IF(CHECK!$I$12="X","",IF(CHECK!$I$14="X","",IF(CHECK!$I$16="X","",IF(CHECK!$I$18="X","",IF(CHECK!$I$21="X","",LOGICA!AK176))))))</f>
        <v>0.9953062395195231</v>
      </c>
      <c r="F48" s="427">
        <f>IF(CHECK!$I$10="X","",IF(CHECK!$I$12="X","",IF(CHECK!$I$14="X","",IF(CHECK!$I$16="X","",IF(CHECK!$I$18="X","",IF(CHECK!$I$21="X","",LOGICA!AL176))))))</f>
        <v>0.9953062395195231</v>
      </c>
      <c r="G48" s="481">
        <f>IF(CHECK!$I$10="X","",IF(CHECK!$I$12="X","",IF(CHECK!$I$14="X","",IF(CHECK!$I$16="X","",IF(CHECK!$I$18="X","",IF(CHECK!$I$21="X","",LOGICA!AM176))))))</f>
        <v>0.978430258029101</v>
      </c>
    </row>
    <row r="49" spans="2:7" ht="16.5" customHeight="1" thickBot="1">
      <c r="B49" s="82" t="s">
        <v>1256</v>
      </c>
      <c r="C49" s="869" t="s">
        <v>0</v>
      </c>
      <c r="D49" s="902"/>
      <c r="E49" s="488">
        <f>IF(CHECK!$I$10="X","",IF(CHECK!$I$12="X","",IF(CHECK!$I$14="X","",IF(CHECK!$I$16="X","",IF(CHECK!$I$18="X","",IF(CHECK!$I$21="X","",LOGICA!AK177))))))</f>
        <v>85171.85</v>
      </c>
      <c r="F49" s="488">
        <f>IF(CHECK!$I$10="X","",IF(CHECK!$I$12="X","",IF(CHECK!$I$14="X","",IF(CHECK!$I$16="X","",IF(CHECK!$I$18="X","",IF(CHECK!$I$21="X","",LOGICA!AL177))))))</f>
        <v>85171.85</v>
      </c>
      <c r="G49" s="489">
        <f>IF(CHECK!$I$10="X","",IF(CHECK!$I$12="X","",IF(CHECK!$I$14="X","",IF(CHECK!$I$16="X","",IF(CHECK!$I$18="X","",IF(CHECK!$I$21="X","",LOGICA!AM177))))))</f>
        <v>85171.85</v>
      </c>
    </row>
    <row r="50" spans="2:7" ht="16.5" customHeight="1" thickBot="1">
      <c r="B50" s="180" t="s">
        <v>1272</v>
      </c>
      <c r="C50" s="635" t="s">
        <v>4</v>
      </c>
      <c r="D50" s="636"/>
      <c r="E50" s="201">
        <f>IF(CHECK!$I$10="X","",IF(CHECK!$I$12="X","",IF(CHECK!$I$14="X","",IF(CHECK!$I$16="X","",IF(CHECK!$I$18="X","",IF(CHECK!$I$21="X","",LOGICA!AK178))))))</f>
        <v>6212762.09</v>
      </c>
      <c r="F50" s="201">
        <f>IF(CHECK!$I$10="X","",IF(CHECK!$I$12="X","",IF(CHECK!$I$14="X","",IF(CHECK!$I$16="X","",IF(CHECK!$I$18="X","",IF(CHECK!$I$21="X","",LOGICA!AL178))))))</f>
        <v>6212762.09</v>
      </c>
      <c r="G50" s="202">
        <f>IF(CHECK!$I$10="X","",IF(CHECK!$I$12="X","",IF(CHECK!$I$14="X","",IF(CHECK!$I$16="X","",IF(CHECK!$I$18="X","",IF(CHECK!$I$21="X","",LOGICA!AM178))))))</f>
        <v>6105977.050000001</v>
      </c>
    </row>
    <row r="51" spans="2:7" s="161" customFormat="1" ht="16.5" customHeight="1" thickBot="1">
      <c r="B51" s="67"/>
      <c r="C51" s="67"/>
      <c r="D51" s="67"/>
      <c r="E51" s="67"/>
      <c r="F51" s="62"/>
      <c r="G51" s="62"/>
    </row>
    <row r="52" spans="2:7" ht="19.5" customHeight="1" thickBot="1">
      <c r="B52" s="257" t="s">
        <v>1152</v>
      </c>
      <c r="C52" s="899" t="s">
        <v>1155</v>
      </c>
      <c r="D52" s="754"/>
      <c r="E52" s="227" t="s">
        <v>1190</v>
      </c>
      <c r="F52" s="227" t="s">
        <v>1212</v>
      </c>
      <c r="G52" s="230" t="s">
        <v>1151</v>
      </c>
    </row>
    <row r="53" spans="2:7" ht="16.5" customHeight="1">
      <c r="B53" s="208"/>
      <c r="C53" s="845" t="s">
        <v>1</v>
      </c>
      <c r="D53" s="845"/>
      <c r="E53" s="484">
        <f>IF(CHECK!$I$10="X","",IF(CHECK!$I$12="X","",IF(CHECK!$I$14="X","",IF(CHECK!$I$16="X","",IF(CHECK!$I$18="X","",IF(CHECK!$I$21="X","",LOGICA!AK180))))))</f>
        <v>1466688.6099999999</v>
      </c>
      <c r="F53" s="484">
        <f>IF(CHECK!$I$10="X","",IF(CHECK!$I$12="X","",IF(CHECK!$I$14="X","",IF(CHECK!$I$16="X","",IF(CHECK!$I$18="X","",IF(CHECK!$I$21="X","",LOGICA!AL180))))))</f>
        <v>1466688.6099999999</v>
      </c>
      <c r="G53" s="286">
        <f>IF(CHECK!$I$10="X","",IF(CHECK!$I$12="X","",IF(CHECK!$I$14="X","",IF(CHECK!$I$16="X","",IF(CHECK!$I$18="X","",IF(CHECK!$I$21="X","",LOGICA!AM180))))))</f>
        <v>1466688.6099999999</v>
      </c>
    </row>
    <row r="54" spans="2:7" ht="16.5" customHeight="1">
      <c r="B54" s="208"/>
      <c r="C54" s="845" t="s">
        <v>5</v>
      </c>
      <c r="D54" s="845"/>
      <c r="E54" s="484">
        <f>IF(CHECK!$I$10="X","",IF(CHECK!$I$12="X","",IF(CHECK!$I$14="X","",IF(CHECK!$I$16="X","",IF(CHECK!$I$18="X","",IF(CHECK!$I$21="X","",LOGICA!AK181))))))</f>
        <v>6212762.09</v>
      </c>
      <c r="F54" s="484">
        <f>IF(CHECK!$I$10="X","",IF(CHECK!$I$12="X","",IF(CHECK!$I$14="X","",IF(CHECK!$I$16="X","",IF(CHECK!$I$18="X","",IF(CHECK!$I$21="X","",LOGICA!AL181))))))</f>
        <v>6212762.09</v>
      </c>
      <c r="G54" s="286">
        <f>IF(CHECK!$I$10="X","",IF(CHECK!$I$12="X","",IF(CHECK!$I$14="X","",IF(CHECK!$I$16="X","",IF(CHECK!$I$18="X","",IF(CHECK!$I$21="X","",LOGICA!AM181))))))</f>
        <v>6105977.050000001</v>
      </c>
    </row>
    <row r="55" spans="2:7" s="226" customFormat="1" ht="19.5" customHeight="1">
      <c r="B55" s="208" t="s">
        <v>1272</v>
      </c>
      <c r="C55" s="842" t="s">
        <v>242</v>
      </c>
      <c r="D55" s="842"/>
      <c r="E55" s="485">
        <f>IF(CHECK!$I$10="X","",IF(CHECK!$I$12="X","",IF(CHECK!$I$14="X","",IF(CHECK!$I$16="X","",IF(CHECK!$I$18="X","",IF(CHECK!$I$21="X","",LOGICA!AK182))))))</f>
        <v>7679450.699999999</v>
      </c>
      <c r="F55" s="485">
        <f>IF(CHECK!$I$10="X","",IF(CHECK!$I$12="X","",IF(CHECK!$I$14="X","",IF(CHECK!$I$16="X","",IF(CHECK!$I$18="X","",IF(CHECK!$I$21="X","",LOGICA!AL182))))))</f>
        <v>7679450.699999999</v>
      </c>
      <c r="G55" s="424">
        <f>IF(CHECK!$I$10="X","",IF(CHECK!$I$12="X","",IF(CHECK!$I$14="X","",IF(CHECK!$I$16="X","",IF(CHECK!$I$18="X","",IF(CHECK!$I$21="X","",LOGICA!AM182))))))</f>
        <v>7572665.66</v>
      </c>
    </row>
    <row r="56" spans="2:7" ht="16.5" customHeight="1">
      <c r="B56" s="82" t="s">
        <v>1255</v>
      </c>
      <c r="C56" s="845" t="s">
        <v>264</v>
      </c>
      <c r="D56" s="845"/>
      <c r="E56" s="484">
        <f>IF(CHECK!$I$10="X","",IF(CHECK!$I$12="X","",IF(CHECK!$I$14="X","",IF(CHECK!$I$16="X","",IF(CHECK!$I$18="X","",IF(CHECK!$I$21="X","",LOGICA!AK183))))))</f>
        <v>0</v>
      </c>
      <c r="F56" s="484">
        <f>IF(CHECK!$I$10="X","",IF(CHECK!$I$12="X","",IF(CHECK!$I$14="X","",IF(CHECK!$I$16="X","",IF(CHECK!$I$18="X","",IF(CHECK!$I$21="X","",LOGICA!AL183))))))</f>
        <v>0</v>
      </c>
      <c r="G56" s="286">
        <f>IF(CHECK!$I$10="X","",IF(CHECK!$I$12="X","",IF(CHECK!$I$14="X","",IF(CHECK!$I$16="X","",IF(CHECK!$I$18="X","",IF(CHECK!$I$21="X","",LOGICA!AM183))))))</f>
        <v>0</v>
      </c>
    </row>
    <row r="57" spans="2:7" ht="16.5" customHeight="1" thickBot="1">
      <c r="B57" s="82" t="s">
        <v>1256</v>
      </c>
      <c r="C57" s="845" t="s">
        <v>265</v>
      </c>
      <c r="D57" s="845"/>
      <c r="E57" s="228">
        <f>IF(CHECK!$I$10="X","",IF(CHECK!$I$12="X","",IF(CHECK!$I$14="X","",IF(CHECK!$I$16="X","",IF(CHECK!$I$18="X","",IF(CHECK!$I$21="X","",LOGICA!AK184))))))</f>
        <v>3745723.7899999996</v>
      </c>
      <c r="F57" s="228">
        <f>IF(CHECK!$I$10="X","",IF(CHECK!$I$12="X","",IF(CHECK!$I$14="X","",IF(CHECK!$I$16="X","",IF(CHECK!$I$18="X","",IF(CHECK!$I$21="X","",LOGICA!AL184))))))</f>
        <v>3745723.7899999996</v>
      </c>
      <c r="G57" s="423">
        <f>IF(CHECK!$I$10="X","",IF(CHECK!$I$12="X","",IF(CHECK!$I$14="X","",IF(CHECK!$I$16="X","",IF(CHECK!$I$18="X","",IF(CHECK!$I$21="X","",LOGICA!AM184))))))</f>
        <v>3638938.7500000005</v>
      </c>
    </row>
    <row r="58" spans="2:7" ht="19.5" customHeight="1" thickBot="1">
      <c r="B58" s="435"/>
      <c r="C58" s="895" t="s">
        <v>243</v>
      </c>
      <c r="D58" s="895"/>
      <c r="E58" s="201">
        <f>IF(CHECK!$I$10="X","",IF(CHECK!$I$12="X","",IF(CHECK!$I$14="X","",IF(CHECK!$I$16="X","",IF(CHECK!$I$18="X","",IF(CHECK!$I$21="X","",LOGICA!AK185))))))</f>
        <v>3933726.9099999997</v>
      </c>
      <c r="F58" s="201">
        <f>IF(CHECK!$I$10="X","",IF(CHECK!$I$12="X","",IF(CHECK!$I$14="X","",IF(CHECK!$I$16="X","",IF(CHECK!$I$18="X","",IF(CHECK!$I$21="X","",LOGICA!AL185))))))</f>
        <v>3933726.9099999997</v>
      </c>
      <c r="G58" s="202">
        <f>IF(CHECK!$I$10="X","",IF(CHECK!$I$12="X","",IF(CHECK!$I$14="X","",IF(CHECK!$I$16="X","",IF(CHECK!$I$18="X","",IF(CHECK!$I$21="X","",LOGICA!AM185))))))</f>
        <v>3933726.9099999997</v>
      </c>
    </row>
    <row r="59" spans="2:7" ht="19.5" customHeight="1" thickBot="1">
      <c r="B59" s="180"/>
      <c r="C59" s="895" t="s">
        <v>641</v>
      </c>
      <c r="D59" s="895"/>
      <c r="E59" s="436">
        <f>IF(CHECK!$I$10="X","",IF(CHECK!$I$12="X","",IF(CHECK!$I$14="X","",IF(CHECK!$I$16="X","",IF(CHECK!$I$18="X","",IF(CHECK!$I$21="X","",LOGICA!AK186))))))</f>
        <v>0.27235536980217573</v>
      </c>
      <c r="F59" s="436">
        <f>IF(CHECK!$I$10="X","",IF(CHECK!$I$12="X","",IF(CHECK!$I$14="X","",IF(CHECK!$I$16="X","",IF(CHECK!$I$18="X","",IF(CHECK!$I$21="X","",LOGICA!AL186))))))</f>
        <v>0.27235536980217573</v>
      </c>
      <c r="G59" s="437">
        <f>IF(CHECK!$I$10="X","",IF(CHECK!$I$12="X","",IF(CHECK!$I$14="X","",IF(CHECK!$I$16="X","",IF(CHECK!$I$18="X","",IF(CHECK!$I$21="X","",LOGICA!AM186))))))</f>
        <v>0.27235536980217573</v>
      </c>
    </row>
    <row r="60" spans="2:7" ht="16.5" customHeight="1">
      <c r="B60" s="65"/>
      <c r="C60" s="65"/>
      <c r="D60" s="65"/>
      <c r="E60" s="65"/>
      <c r="F60" s="75"/>
      <c r="G60" s="75"/>
    </row>
    <row r="62" spans="2:7" ht="12.75" customHeight="1">
      <c r="B62" s="225"/>
      <c r="C62" s="225"/>
      <c r="D62" s="225"/>
      <c r="E62" s="225"/>
      <c r="F62" s="225"/>
      <c r="G62" s="225"/>
    </row>
    <row r="63" spans="2:7" ht="12.75" customHeight="1">
      <c r="B63" s="225"/>
      <c r="C63" s="225"/>
      <c r="D63" s="225"/>
      <c r="E63" s="225"/>
      <c r="F63" s="225"/>
      <c r="G63" s="225"/>
    </row>
    <row r="64" spans="2:7" ht="12.75" customHeight="1">
      <c r="B64" s="225"/>
      <c r="C64" s="225"/>
      <c r="D64" s="225"/>
      <c r="E64" s="225"/>
      <c r="F64" s="225"/>
      <c r="G64" s="225"/>
    </row>
    <row r="65" spans="2:7" ht="12.75" customHeight="1">
      <c r="B65" s="225"/>
      <c r="C65" s="225"/>
      <c r="D65" s="225"/>
      <c r="E65" s="225"/>
      <c r="F65" s="225"/>
      <c r="G65" s="225"/>
    </row>
    <row r="66" spans="2:7" ht="12.75" customHeight="1">
      <c r="B66" s="225"/>
      <c r="C66" s="225"/>
      <c r="D66" s="225"/>
      <c r="E66" s="225"/>
      <c r="F66" s="225"/>
      <c r="G66" s="225"/>
    </row>
    <row r="67" spans="2:7" ht="12.75" customHeight="1">
      <c r="B67" s="225"/>
      <c r="C67" s="225"/>
      <c r="D67" s="225"/>
      <c r="E67" s="225"/>
      <c r="F67" s="225"/>
      <c r="G67" s="225"/>
    </row>
    <row r="68" spans="2:7" ht="12.75" customHeight="1">
      <c r="B68" s="225"/>
      <c r="C68" s="225"/>
      <c r="D68" s="225"/>
      <c r="E68" s="225"/>
      <c r="F68" s="225"/>
      <c r="G68" s="225"/>
    </row>
    <row r="69" spans="2:7" ht="12.75" customHeight="1">
      <c r="B69" s="225"/>
      <c r="C69" s="225"/>
      <c r="D69" s="225"/>
      <c r="E69" s="225"/>
      <c r="F69" s="225"/>
      <c r="G69" s="225"/>
    </row>
    <row r="70" spans="2:7" ht="12.75" customHeight="1">
      <c r="B70" s="225"/>
      <c r="C70" s="225"/>
      <c r="D70" s="225"/>
      <c r="E70" s="225"/>
      <c r="F70" s="225"/>
      <c r="G70" s="225"/>
    </row>
    <row r="71" spans="2:7" ht="12.75" customHeight="1">
      <c r="B71" s="225"/>
      <c r="C71" s="225"/>
      <c r="D71" s="225"/>
      <c r="E71" s="225"/>
      <c r="F71" s="225"/>
      <c r="G71" s="225"/>
    </row>
    <row r="72" spans="2:7" ht="12.75" customHeight="1">
      <c r="B72" s="225"/>
      <c r="C72" s="225"/>
      <c r="D72" s="225"/>
      <c r="E72" s="225"/>
      <c r="F72" s="225"/>
      <c r="G72" s="225"/>
    </row>
    <row r="73" spans="2:7" ht="12.75" customHeight="1">
      <c r="B73" s="225"/>
      <c r="C73" s="225"/>
      <c r="D73" s="225"/>
      <c r="E73" s="225"/>
      <c r="F73" s="225"/>
      <c r="G73" s="225"/>
    </row>
    <row r="74" spans="2:7" ht="12.75" customHeight="1">
      <c r="B74" s="225"/>
      <c r="C74" s="225"/>
      <c r="D74" s="225"/>
      <c r="E74" s="225"/>
      <c r="F74" s="225"/>
      <c r="G74" s="225"/>
    </row>
    <row r="75" spans="2:7" ht="12.75" customHeight="1">
      <c r="B75" s="225"/>
      <c r="C75" s="225"/>
      <c r="D75" s="225"/>
      <c r="E75" s="225"/>
      <c r="F75" s="225"/>
      <c r="G75" s="225"/>
    </row>
    <row r="76" spans="2:7" ht="12.75" customHeight="1">
      <c r="B76" s="225"/>
      <c r="C76" s="225"/>
      <c r="D76" s="225"/>
      <c r="E76" s="225"/>
      <c r="F76" s="225"/>
      <c r="G76" s="225"/>
    </row>
    <row r="77" spans="2:7" ht="12.75" customHeight="1">
      <c r="B77" s="225"/>
      <c r="C77" s="225"/>
      <c r="D77" s="225"/>
      <c r="E77" s="225"/>
      <c r="F77" s="225"/>
      <c r="G77" s="225"/>
    </row>
    <row r="78" spans="2:7" ht="12.75" customHeight="1">
      <c r="B78" s="225"/>
      <c r="C78" s="225"/>
      <c r="D78" s="225"/>
      <c r="E78" s="225"/>
      <c r="F78" s="225"/>
      <c r="G78" s="225"/>
    </row>
    <row r="79" spans="2:7" ht="12.75" customHeight="1">
      <c r="B79" s="225"/>
      <c r="C79" s="225"/>
      <c r="D79" s="225"/>
      <c r="E79" s="225"/>
      <c r="F79" s="225"/>
      <c r="G79" s="225"/>
    </row>
    <row r="80" spans="2:7" ht="12.75" customHeight="1">
      <c r="B80" s="225"/>
      <c r="C80" s="225"/>
      <c r="D80" s="225"/>
      <c r="E80" s="225"/>
      <c r="F80" s="225"/>
      <c r="G80" s="225"/>
    </row>
    <row r="81" spans="2:7" ht="12.75" customHeight="1">
      <c r="B81" s="225"/>
      <c r="C81" s="225"/>
      <c r="D81" s="225"/>
      <c r="E81" s="225"/>
      <c r="F81" s="225"/>
      <c r="G81" s="225"/>
    </row>
    <row r="82" spans="2:7" ht="12.75" customHeight="1">
      <c r="B82" s="225"/>
      <c r="C82" s="225"/>
      <c r="D82" s="225"/>
      <c r="E82" s="225"/>
      <c r="F82" s="225"/>
      <c r="G82" s="225"/>
    </row>
    <row r="83" spans="2:7" ht="12.75" customHeight="1">
      <c r="B83" s="225"/>
      <c r="C83" s="225"/>
      <c r="D83" s="225"/>
      <c r="E83" s="225"/>
      <c r="F83" s="225"/>
      <c r="G83" s="225"/>
    </row>
    <row r="84" spans="2:7" ht="12.75" customHeight="1">
      <c r="B84" s="225"/>
      <c r="C84" s="225"/>
      <c r="D84" s="225"/>
      <c r="E84" s="225"/>
      <c r="F84" s="225"/>
      <c r="G84" s="225"/>
    </row>
    <row r="85" spans="2:7" ht="12.75" customHeight="1">
      <c r="B85" s="225"/>
      <c r="C85" s="225"/>
      <c r="D85" s="225"/>
      <c r="E85" s="225"/>
      <c r="F85" s="225"/>
      <c r="G85" s="225"/>
    </row>
    <row r="86" spans="2:7" ht="12.75" customHeight="1">
      <c r="B86" s="225"/>
      <c r="C86" s="225"/>
      <c r="D86" s="225"/>
      <c r="E86" s="225"/>
      <c r="F86" s="225"/>
      <c r="G86" s="225"/>
    </row>
    <row r="87" spans="2:7" ht="12.75" customHeight="1">
      <c r="B87" s="225"/>
      <c r="C87" s="225"/>
      <c r="D87" s="225"/>
      <c r="E87" s="225"/>
      <c r="F87" s="225"/>
      <c r="G87" s="225"/>
    </row>
    <row r="88" spans="2:7" ht="12.75" customHeight="1">
      <c r="B88" s="225"/>
      <c r="C88" s="225"/>
      <c r="D88" s="225"/>
      <c r="E88" s="225"/>
      <c r="F88" s="225"/>
      <c r="G88" s="225"/>
    </row>
    <row r="89" spans="2:7" ht="12.75" customHeight="1">
      <c r="B89" s="225"/>
      <c r="C89" s="225"/>
      <c r="D89" s="225"/>
      <c r="E89" s="225"/>
      <c r="F89" s="225"/>
      <c r="G89" s="225"/>
    </row>
    <row r="90" spans="2:7" ht="12.75" customHeight="1">
      <c r="B90" s="225"/>
      <c r="C90" s="225"/>
      <c r="D90" s="225"/>
      <c r="E90" s="225"/>
      <c r="F90" s="225"/>
      <c r="G90" s="225"/>
    </row>
    <row r="91" spans="2:7" ht="12.75" customHeight="1">
      <c r="B91" s="225"/>
      <c r="C91" s="225"/>
      <c r="D91" s="225"/>
      <c r="E91" s="225"/>
      <c r="F91" s="225"/>
      <c r="G91" s="225"/>
    </row>
    <row r="92" spans="2:7" ht="12.75" customHeight="1">
      <c r="B92" s="225"/>
      <c r="C92" s="225"/>
      <c r="D92" s="225"/>
      <c r="E92" s="225"/>
      <c r="F92" s="225"/>
      <c r="G92" s="225"/>
    </row>
    <row r="93" spans="2:7" ht="12.75" customHeight="1">
      <c r="B93" s="225"/>
      <c r="C93" s="225"/>
      <c r="D93" s="225"/>
      <c r="E93" s="225"/>
      <c r="F93" s="225"/>
      <c r="G93" s="225"/>
    </row>
    <row r="94" spans="2:7" ht="12.75" customHeight="1">
      <c r="B94" s="225"/>
      <c r="C94" s="225"/>
      <c r="D94" s="225"/>
      <c r="E94" s="225"/>
      <c r="F94" s="225"/>
      <c r="G94" s="225"/>
    </row>
    <row r="95" spans="2:7" ht="12.75" customHeight="1">
      <c r="B95" s="225"/>
      <c r="C95" s="225"/>
      <c r="D95" s="225"/>
      <c r="E95" s="225"/>
      <c r="F95" s="225"/>
      <c r="G95" s="225"/>
    </row>
    <row r="96" spans="2:7" ht="12.75" customHeight="1">
      <c r="B96" s="225"/>
      <c r="C96" s="225"/>
      <c r="D96" s="225"/>
      <c r="E96" s="225"/>
      <c r="F96" s="225"/>
      <c r="G96" s="225"/>
    </row>
    <row r="97" spans="2:7" ht="12.75" customHeight="1">
      <c r="B97" s="225"/>
      <c r="C97" s="225"/>
      <c r="D97" s="225"/>
      <c r="E97" s="225"/>
      <c r="F97" s="225"/>
      <c r="G97" s="225"/>
    </row>
    <row r="98" spans="2:7" ht="12.75" customHeight="1">
      <c r="B98" s="225"/>
      <c r="C98" s="225"/>
      <c r="D98" s="225"/>
      <c r="E98" s="225"/>
      <c r="F98" s="225"/>
      <c r="G98" s="225"/>
    </row>
    <row r="99" spans="2:7" ht="12.75" customHeight="1">
      <c r="B99" s="225"/>
      <c r="C99" s="225"/>
      <c r="D99" s="225"/>
      <c r="E99" s="225"/>
      <c r="F99" s="225"/>
      <c r="G99" s="225"/>
    </row>
    <row r="100" spans="2:7" ht="12.75" customHeight="1">
      <c r="B100" s="225"/>
      <c r="C100" s="225"/>
      <c r="D100" s="225"/>
      <c r="E100" s="225"/>
      <c r="F100" s="225"/>
      <c r="G100" s="225"/>
    </row>
    <row r="101" spans="2:7" ht="12.75" customHeight="1">
      <c r="B101" s="225"/>
      <c r="C101" s="225"/>
      <c r="D101" s="225"/>
      <c r="E101" s="225"/>
      <c r="F101" s="225"/>
      <c r="G101" s="225"/>
    </row>
    <row r="102" spans="2:7" ht="12.75" customHeight="1">
      <c r="B102" s="225"/>
      <c r="C102" s="225"/>
      <c r="D102" s="225"/>
      <c r="E102" s="225"/>
      <c r="F102" s="225"/>
      <c r="G102" s="225"/>
    </row>
    <row r="103" spans="2:7" ht="12.75" customHeight="1">
      <c r="B103" s="225"/>
      <c r="C103" s="225"/>
      <c r="D103" s="225"/>
      <c r="E103" s="225"/>
      <c r="F103" s="225"/>
      <c r="G103" s="225"/>
    </row>
    <row r="104" spans="2:7" ht="12.75" customHeight="1">
      <c r="B104" s="225"/>
      <c r="C104" s="225"/>
      <c r="D104" s="225"/>
      <c r="E104" s="225"/>
      <c r="F104" s="225"/>
      <c r="G104" s="225"/>
    </row>
    <row r="105" spans="2:7" ht="12.75" customHeight="1">
      <c r="B105" s="225"/>
      <c r="C105" s="225"/>
      <c r="D105" s="225"/>
      <c r="E105" s="225"/>
      <c r="F105" s="225"/>
      <c r="G105" s="225"/>
    </row>
    <row r="106" spans="2:7" ht="12.75" customHeight="1">
      <c r="B106" s="225"/>
      <c r="C106" s="225"/>
      <c r="D106" s="225"/>
      <c r="E106" s="225"/>
      <c r="F106" s="225"/>
      <c r="G106" s="225"/>
    </row>
    <row r="107" spans="2:7" ht="12.75" customHeight="1">
      <c r="B107" s="225"/>
      <c r="C107" s="225"/>
      <c r="D107" s="225"/>
      <c r="E107" s="225"/>
      <c r="F107" s="225"/>
      <c r="G107" s="225"/>
    </row>
    <row r="108" spans="2:7" ht="12.75" customHeight="1">
      <c r="B108" s="225"/>
      <c r="C108" s="225"/>
      <c r="D108" s="225"/>
      <c r="E108" s="225"/>
      <c r="F108" s="225"/>
      <c r="G108" s="225"/>
    </row>
    <row r="109" spans="2:7" ht="12.75" customHeight="1">
      <c r="B109" s="225"/>
      <c r="C109" s="225"/>
      <c r="D109" s="225"/>
      <c r="E109" s="225"/>
      <c r="F109" s="225"/>
      <c r="G109" s="225"/>
    </row>
    <row r="110" spans="2:7" ht="12.75" customHeight="1">
      <c r="B110" s="225"/>
      <c r="C110" s="225"/>
      <c r="D110" s="225"/>
      <c r="E110" s="225"/>
      <c r="F110" s="225"/>
      <c r="G110" s="225"/>
    </row>
    <row r="111" spans="2:7" ht="12.75" customHeight="1">
      <c r="B111" s="225"/>
      <c r="C111" s="225"/>
      <c r="D111" s="225"/>
      <c r="E111" s="225"/>
      <c r="F111" s="225"/>
      <c r="G111" s="225"/>
    </row>
    <row r="112" spans="2:7" ht="12.75" customHeight="1">
      <c r="B112" s="225"/>
      <c r="C112" s="225"/>
      <c r="D112" s="225"/>
      <c r="E112" s="225"/>
      <c r="F112" s="225"/>
      <c r="G112" s="225"/>
    </row>
    <row r="113" spans="2:7" ht="12.75" customHeight="1">
      <c r="B113" s="225"/>
      <c r="C113" s="225"/>
      <c r="D113" s="225"/>
      <c r="E113" s="225"/>
      <c r="F113" s="225"/>
      <c r="G113" s="225"/>
    </row>
    <row r="114" spans="2:7" ht="12.75" customHeight="1">
      <c r="B114" s="225"/>
      <c r="C114" s="225"/>
      <c r="D114" s="225"/>
      <c r="E114" s="225"/>
      <c r="F114" s="225"/>
      <c r="G114" s="225"/>
    </row>
  </sheetData>
  <sheetProtection password="DEF0" sheet="1" objects="1" scenarios="1"/>
  <mergeCells count="47">
    <mergeCell ref="C43:D43"/>
    <mergeCell ref="C42:D42"/>
    <mergeCell ref="C39:D39"/>
    <mergeCell ref="C38:D38"/>
    <mergeCell ref="C40:F40"/>
    <mergeCell ref="C27:D27"/>
    <mergeCell ref="C28:D28"/>
    <mergeCell ref="C29:D29"/>
    <mergeCell ref="C34:D34"/>
    <mergeCell ref="C30:D30"/>
    <mergeCell ref="C32:D32"/>
    <mergeCell ref="C33:D33"/>
    <mergeCell ref="C15:F15"/>
    <mergeCell ref="C20:F20"/>
    <mergeCell ref="C26:D26"/>
    <mergeCell ref="C22:F22"/>
    <mergeCell ref="C21:F21"/>
    <mergeCell ref="C55:D55"/>
    <mergeCell ref="C6:F6"/>
    <mergeCell ref="C12:F12"/>
    <mergeCell ref="C19:F19"/>
    <mergeCell ref="C23:F23"/>
    <mergeCell ref="C13:F13"/>
    <mergeCell ref="C10:F10"/>
    <mergeCell ref="C16:F16"/>
    <mergeCell ref="C49:D49"/>
    <mergeCell ref="C17:F17"/>
    <mergeCell ref="C56:D56"/>
    <mergeCell ref="C57:D57"/>
    <mergeCell ref="B4:G4"/>
    <mergeCell ref="C7:F7"/>
    <mergeCell ref="B5:G5"/>
    <mergeCell ref="C8:F8"/>
    <mergeCell ref="C9:F9"/>
    <mergeCell ref="C14:F14"/>
    <mergeCell ref="C52:D52"/>
    <mergeCell ref="C54:D54"/>
    <mergeCell ref="B2:C2"/>
    <mergeCell ref="C58:D58"/>
    <mergeCell ref="C59:D59"/>
    <mergeCell ref="C53:D53"/>
    <mergeCell ref="C44:D44"/>
    <mergeCell ref="C46:D46"/>
    <mergeCell ref="C48:D48"/>
    <mergeCell ref="C50:D50"/>
    <mergeCell ref="C45:D45"/>
    <mergeCell ref="C47:D47"/>
  </mergeCells>
  <printOptions/>
  <pageMargins left="0.5905511811023623" right="0.11811023622047245" top="0.6299212598425197" bottom="0.82" header="0.2755905511811024" footer="0.45"/>
  <pageSetup horizontalDpi="180" verticalDpi="180" orientation="portrait" paperSize="9" scale="68" r:id="rId2"/>
  <headerFooter alignWithMargins="0">
    <oddHeader>&amp;R
</oddHeader>
  </headerFooter>
  <legacyDrawing r:id="rId1"/>
</worksheet>
</file>

<file path=xl/worksheets/sheet21.xml><?xml version="1.0" encoding="utf-8"?>
<worksheet xmlns="http://schemas.openxmlformats.org/spreadsheetml/2006/main" xmlns:r="http://schemas.openxmlformats.org/officeDocument/2006/relationships">
  <sheetPr codeName="Plan14"/>
  <dimension ref="A2:M49"/>
  <sheetViews>
    <sheetView showGridLines="0" showRowColHeaders="0" zoomScalePageLayoutView="0" workbookViewId="0" topLeftCell="C1">
      <selection activeCell="A1" sqref="A1"/>
    </sheetView>
  </sheetViews>
  <sheetFormatPr defaultColWidth="9.140625" defaultRowHeight="12.75"/>
  <cols>
    <col min="1" max="1" width="1.7109375" style="58" customWidth="1"/>
    <col min="2" max="3" width="8.7109375" style="58" customWidth="1"/>
    <col min="4" max="5" width="15.7109375" style="58" customWidth="1"/>
    <col min="6" max="6" width="5.7109375" style="58" customWidth="1"/>
    <col min="7" max="7" width="18.7109375" style="58" customWidth="1"/>
    <col min="8" max="8" width="0.85546875" style="58" customWidth="1"/>
    <col min="9" max="9" width="5.7109375" style="58" customWidth="1"/>
    <col min="10" max="10" width="15.7109375" style="58" customWidth="1"/>
    <col min="11" max="11" width="20.7109375" style="58" customWidth="1"/>
    <col min="12" max="12" width="13.7109375" style="58" customWidth="1"/>
    <col min="13" max="13" width="18.7109375" style="58" customWidth="1"/>
    <col min="14" max="16384" width="9.140625" style="58" customWidth="1"/>
  </cols>
  <sheetData>
    <row r="2" spans="2:13" ht="15.75">
      <c r="B2" s="913" t="s">
        <v>207</v>
      </c>
      <c r="C2" s="914"/>
      <c r="D2" s="914"/>
      <c r="E2" s="914"/>
      <c r="F2" s="914"/>
      <c r="G2" s="914"/>
      <c r="H2" s="914"/>
      <c r="I2" s="914"/>
      <c r="J2" s="914"/>
      <c r="K2" s="914"/>
      <c r="L2" s="914"/>
      <c r="M2" s="914"/>
    </row>
    <row r="3" spans="2:13" ht="9.75" customHeight="1">
      <c r="B3" s="913"/>
      <c r="C3" s="914"/>
      <c r="D3" s="914"/>
      <c r="E3" s="914"/>
      <c r="F3" s="914"/>
      <c r="G3" s="914"/>
      <c r="H3" s="914"/>
      <c r="I3" s="914"/>
      <c r="J3" s="438"/>
      <c r="K3" s="438"/>
      <c r="L3" s="438"/>
      <c r="M3" s="438"/>
    </row>
    <row r="4" spans="2:13" ht="15.75">
      <c r="B4" s="915" t="s">
        <v>194</v>
      </c>
      <c r="C4" s="915"/>
      <c r="D4" s="881" t="str">
        <f>COMANDOBLOQUEADO!S19</f>
        <v>CESÁRIO LANGE</v>
      </c>
      <c r="E4" s="881"/>
      <c r="F4" s="881"/>
      <c r="G4" s="881"/>
      <c r="H4" s="56"/>
      <c r="I4" s="56"/>
      <c r="J4" s="439" t="s">
        <v>268</v>
      </c>
      <c r="K4" s="422" t="str">
        <f>COMANDOBLOQUEADO!$U$6</f>
        <v>4º TRIMESTRE</v>
      </c>
      <c r="L4" s="439" t="s">
        <v>1251</v>
      </c>
      <c r="M4" s="422" t="str">
        <f>COMANDOBLOQUEADO!$Y$6</f>
        <v>2009</v>
      </c>
    </row>
    <row r="5" spans="2:13" ht="12" customHeight="1" thickBot="1">
      <c r="B5" s="55"/>
      <c r="C5" s="55"/>
      <c r="D5" s="55"/>
      <c r="E5" s="55"/>
      <c r="F5" s="55"/>
      <c r="G5" s="55"/>
      <c r="H5" s="55"/>
      <c r="I5" s="55"/>
      <c r="J5" s="55"/>
      <c r="K5" s="55"/>
      <c r="L5" s="55"/>
      <c r="M5" s="55"/>
    </row>
    <row r="6" spans="2:13" ht="15.75" customHeight="1">
      <c r="B6" s="916" t="s">
        <v>1250</v>
      </c>
      <c r="C6" s="918"/>
      <c r="D6" s="918"/>
      <c r="E6" s="918"/>
      <c r="F6" s="918"/>
      <c r="G6" s="469" t="s">
        <v>1248</v>
      </c>
      <c r="H6" s="161"/>
      <c r="I6" s="916" t="s">
        <v>1249</v>
      </c>
      <c r="J6" s="917"/>
      <c r="K6" s="917"/>
      <c r="L6" s="917"/>
      <c r="M6" s="440" t="s">
        <v>1248</v>
      </c>
    </row>
    <row r="7" spans="2:13" ht="6.75" customHeight="1">
      <c r="B7" s="908"/>
      <c r="C7" s="773"/>
      <c r="D7" s="773"/>
      <c r="E7" s="773"/>
      <c r="F7" s="773"/>
      <c r="G7" s="442"/>
      <c r="H7" s="161"/>
      <c r="I7" s="443"/>
      <c r="J7" s="205"/>
      <c r="K7" s="205"/>
      <c r="L7" s="205"/>
      <c r="M7" s="442"/>
    </row>
    <row r="8" spans="2:13" ht="13.5" customHeight="1">
      <c r="B8" s="908" t="s">
        <v>1257</v>
      </c>
      <c r="C8" s="773"/>
      <c r="D8" s="773"/>
      <c r="E8" s="773"/>
      <c r="F8" s="773"/>
      <c r="G8" s="444">
        <f>IF(COMANDOBLOQUEADO!$U$6="1º TRIMESTRE",RECEITAS!E9,IF(COMANDOBLOQUEADO!$U$6="2º TRIMESTRE",RECEITAS!F9,IF(COMANDOBLOQUEADO!$U$6="3º TRIMESTRE",RECEITAS!G9,RECEITAS!H9)))</f>
        <v>357528.24</v>
      </c>
      <c r="H8" s="161" t="s">
        <v>1110</v>
      </c>
      <c r="I8" s="909" t="s">
        <v>642</v>
      </c>
      <c r="J8" s="774"/>
      <c r="K8" s="774"/>
      <c r="L8" s="774"/>
      <c r="M8" s="444">
        <f>IF(COMANDOBLOQUEADO!$U$6="1º TRIMESTRE",ADMERFUND!D26,IF(COMANDOBLOQUEADO!$U$6="2º TRIMESTRE",ADMERFUND!E26,IF(COMANDOBLOQUEADO!$U$6="3º TRIMESTRE",ADMERFUND!F26,ADMERFUND!G26)))</f>
        <v>0</v>
      </c>
    </row>
    <row r="9" spans="2:13" ht="13.5" customHeight="1">
      <c r="B9" s="910" t="s">
        <v>1258</v>
      </c>
      <c r="C9" s="773"/>
      <c r="D9" s="773"/>
      <c r="E9" s="773"/>
      <c r="F9" s="773"/>
      <c r="G9" s="444">
        <f>IF(COMANDOBLOQUEADO!$U$6="1º TRIMESTRE",RECEITAS!E10,IF(COMANDOBLOQUEADO!$U$6="2º TRIMESTRE",RECEITAS!F10,IF(COMANDOBLOQUEADO!$U$6="3º TRIMESTRE",RECEITAS!G10,RECEITAS!H10)))</f>
        <v>232616.1</v>
      </c>
      <c r="H9" s="161"/>
      <c r="I9" s="908" t="s">
        <v>1252</v>
      </c>
      <c r="J9" s="773"/>
      <c r="K9" s="773"/>
      <c r="L9" s="773"/>
      <c r="M9" s="444">
        <f>IF(COMANDOBLOQUEADO!$U$6="1º TRIMESTRE",ADMERFUND!D53,IF(COMANDOBLOQUEADO!$U$6="2º TRIMESTRE",ADMERFUND!E53,IF(COMANDOBLOQUEADO!$U$6="3º TRIMESTRE",ADMERFUND!F53,ADMERFUND!G53)))</f>
        <v>1809597.94</v>
      </c>
    </row>
    <row r="10" spans="2:13" ht="13.5" customHeight="1">
      <c r="B10" s="910" t="s">
        <v>1259</v>
      </c>
      <c r="C10" s="773"/>
      <c r="D10" s="773"/>
      <c r="E10" s="773"/>
      <c r="F10" s="773"/>
      <c r="G10" s="444">
        <f>IF(COMANDOBLOQUEADO!$U$6="1º TRIMESTRE",RECEITAS!E11,IF(COMANDOBLOQUEADO!$U$6="2º TRIMESTRE",RECEITAS!F11,IF(COMANDOBLOQUEADO!$U$6="3º TRIMESTRE",RECEITAS!G11,RECEITAS!H11)))</f>
        <v>768979.32</v>
      </c>
      <c r="H10" s="161"/>
      <c r="I10" s="909" t="s">
        <v>1254</v>
      </c>
      <c r="J10" s="774"/>
      <c r="K10" s="774"/>
      <c r="L10" s="774"/>
      <c r="M10" s="444">
        <f>IF(COMANDOBLOQUEADO!$U$6="1º TRIMESTRE",INJAESP!D27,IF(COMANDOBLOQUEADO!$U$6="2º TRIMESTRE",INJAESP!E27,IF(COMANDOBLOQUEADO!$U$6="3º TRIMESTRE",INJAESP!F27,INJAESP!G27)))</f>
        <v>618769.0299999999</v>
      </c>
    </row>
    <row r="11" spans="2:13" ht="13.5" customHeight="1">
      <c r="B11" s="908" t="s">
        <v>1260</v>
      </c>
      <c r="C11" s="773"/>
      <c r="D11" s="773"/>
      <c r="E11" s="773"/>
      <c r="F11" s="773"/>
      <c r="G11" s="444">
        <f>IF(COMANDOBLOQUEADO!$U$6="1º TRIMESTRE",RECEITAS!E12,IF(COMANDOBLOQUEADO!$U$6="2º TRIMESTRE",RECEITAS!F12,IF(COMANDOBLOQUEADO!$U$6="3º TRIMESTRE",RECEITAS!G12,RECEITAS!H12)))</f>
        <v>157451.52</v>
      </c>
      <c r="H11" s="161"/>
      <c r="I11" s="909" t="s">
        <v>643</v>
      </c>
      <c r="J11" s="774"/>
      <c r="K11" s="774"/>
      <c r="L11" s="774"/>
      <c r="M11" s="444">
        <f>IF(COMANDOBLOQUEADO!$U$6="1º TRIMESTRE",INJAESP!D42,IF(COMANDOBLOQUEADO!$U$6="2º TRIMESTRE",INJAESP!E42,IF(COMANDOBLOQUEADO!$U$6="3º TRIMESTRE",INJAESP!F42,INJAESP!G42)))</f>
        <v>0</v>
      </c>
    </row>
    <row r="12" spans="2:13" ht="13.5" customHeight="1">
      <c r="B12" s="908" t="s">
        <v>1261</v>
      </c>
      <c r="C12" s="773"/>
      <c r="D12" s="773"/>
      <c r="E12" s="773"/>
      <c r="F12" s="773"/>
      <c r="G12" s="444">
        <f>IF(COMANDOBLOQUEADO!$U$6="1º TRIMESTRE",RECEITAS!E13,IF(COMANDOBLOQUEADO!$U$6="2º TRIMESTRE",RECEITAS!F13,IF(COMANDOBLOQUEADO!$U$6="3º TRIMESTRE",RECEITAS!G13,RECEITAS!H13)))</f>
        <v>239918.02</v>
      </c>
      <c r="H12" s="161"/>
      <c r="I12" s="908" t="s">
        <v>1253</v>
      </c>
      <c r="J12" s="773"/>
      <c r="K12" s="773"/>
      <c r="L12" s="773"/>
      <c r="M12" s="444">
        <f>IF(COMANDOBLOQUEADO!$U$6="1º TRIMESTRE",INJAESP!D57,IF(COMANDOBLOQUEADO!$U$6="2º TRIMESTRE",INJAESP!E57,IF(COMANDOBLOQUEADO!$U$6="3º TRIMESTRE",INJAESP!F57,INJAESP!G57)))</f>
        <v>0</v>
      </c>
    </row>
    <row r="13" spans="2:13" ht="13.5" customHeight="1">
      <c r="B13" s="908" t="s">
        <v>1262</v>
      </c>
      <c r="C13" s="773"/>
      <c r="D13" s="773"/>
      <c r="E13" s="773"/>
      <c r="F13" s="773"/>
      <c r="G13" s="444">
        <f>IF(COMANDOBLOQUEADO!$U$6="1º TRIMESTRE",RECEITAS!E14,IF(COMANDOBLOQUEADO!$U$6="2º TRIMESTRE",RECEITAS!F14,IF(COMANDOBLOQUEADO!$U$6="3º TRIMESTRE",RECEITAS!G14,RECEITAS!H14)))</f>
        <v>51443.81</v>
      </c>
      <c r="H13" s="161"/>
      <c r="I13" s="447" t="s">
        <v>1272</v>
      </c>
      <c r="J13" s="911" t="s">
        <v>644</v>
      </c>
      <c r="K13" s="911"/>
      <c r="L13" s="911"/>
      <c r="M13" s="468">
        <f>SUM(M8:M12)</f>
        <v>2428366.9699999997</v>
      </c>
    </row>
    <row r="14" spans="2:13" ht="13.5" customHeight="1">
      <c r="B14" s="910" t="s">
        <v>1263</v>
      </c>
      <c r="C14" s="773"/>
      <c r="D14" s="773"/>
      <c r="E14" s="773"/>
      <c r="F14" s="773"/>
      <c r="G14" s="444">
        <f>IF(COMANDOBLOQUEADO!$U$6="1º TRIMESTRE",RECEITAS!E15,IF(COMANDOBLOQUEADO!$U$6="2º TRIMESTRE",RECEITAS!F15,IF(COMANDOBLOQUEADO!$U$6="3º TRIMESTRE",RECEITAS!G15,RECEITAS!H15)))</f>
        <v>0</v>
      </c>
      <c r="H14" s="161"/>
      <c r="I14" s="449" t="s">
        <v>1256</v>
      </c>
      <c r="J14" s="773" t="s">
        <v>645</v>
      </c>
      <c r="K14" s="773"/>
      <c r="L14" s="773"/>
      <c r="M14" s="444">
        <f>IF(COMANDOBLOQUEADO!$U$6="1º TRIMESTRE",GLOSAS!D34,IF(COMANDOBLOQUEADO!$U$6="2º TRIMESTRE",GLOSAS!E34,IF(COMANDOBLOQUEADO!$U$6="3º TRIMESTRE",GLOSAS!F34,GLOSAS!G34)))</f>
        <v>961678.36</v>
      </c>
    </row>
    <row r="15" spans="2:13" ht="13.5" customHeight="1">
      <c r="B15" s="910" t="s">
        <v>1264</v>
      </c>
      <c r="C15" s="773"/>
      <c r="D15" s="773"/>
      <c r="E15" s="773"/>
      <c r="F15" s="773"/>
      <c r="G15" s="444">
        <f>IF(COMANDOBLOQUEADO!$U$6="1º TRIMESTRE",RECEITAS!E19,IF(COMANDOBLOQUEADO!$U$6="2º TRIMESTRE",RECEITAS!F19,IF(COMANDOBLOQUEADO!$U$6="3º TRIMESTRE",RECEITAS!G19,RECEITAS!H19)))</f>
        <v>7036370.22</v>
      </c>
      <c r="H15" s="161"/>
      <c r="I15" s="449" t="s">
        <v>1256</v>
      </c>
      <c r="J15" s="773" t="s">
        <v>200</v>
      </c>
      <c r="K15" s="773"/>
      <c r="L15" s="773"/>
      <c r="M15" s="444">
        <f>IF(COMANDOBLOQUEADO!$U$6="1º TRIMESTRE",GLOSAS!D43,IF(COMANDOBLOQUEADO!$U$6="2º TRIMESTRE",GLOSAS!E43,IF(COMANDOBLOQUEADO!$U$6="3º TRIMESTRE",GLOSAS!F43,GLOSAS!G43)))</f>
        <v>0</v>
      </c>
    </row>
    <row r="16" spans="2:13" ht="13.5" customHeight="1">
      <c r="B16" s="908" t="s">
        <v>1265</v>
      </c>
      <c r="C16" s="773"/>
      <c r="D16" s="773"/>
      <c r="E16" s="773"/>
      <c r="F16" s="773"/>
      <c r="G16" s="444">
        <f>IF(COMANDOBLOQUEADO!$U$6="1º TRIMESTRE",RECEITAS!E20,IF(COMANDOBLOQUEADO!$U$6="2º TRIMESTRE",RECEITAS!F20,IF(COMANDOBLOQUEADO!$U$6="3º TRIMESTRE",RECEITAS!G20,RECEITAS!H20)))</f>
        <v>23993.81</v>
      </c>
      <c r="H16" s="161"/>
      <c r="I16" s="449" t="s">
        <v>1256</v>
      </c>
      <c r="J16" s="773" t="s">
        <v>646</v>
      </c>
      <c r="K16" s="773"/>
      <c r="L16" s="773"/>
      <c r="M16" s="444">
        <f>IF(COMANDOBLOQUEADO!$U$6="1º TRIMESTRE",GLOSAS!D52,IF(COMANDOBLOQUEADO!$U$6="2º TRIMESTRE",GLOSAS!E52,IF(COMANDOBLOQUEADO!$U$6="3º TRIMESTRE",GLOSAS!F52,GLOSAS!G52)))</f>
        <v>0</v>
      </c>
    </row>
    <row r="17" spans="2:13" ht="13.5" customHeight="1">
      <c r="B17" s="908" t="s">
        <v>1266</v>
      </c>
      <c r="C17" s="773"/>
      <c r="D17" s="773"/>
      <c r="E17" s="773"/>
      <c r="F17" s="773"/>
      <c r="G17" s="444">
        <f>IF(COMANDOBLOQUEADO!$U$6="1º TRIMESTRE",RECEITAS!E21,IF(COMANDOBLOQUEADO!$U$6="2º TRIMESTRE",RECEITAS!F21,IF(COMANDOBLOQUEADO!$U$6="3º TRIMESTRE",RECEITAS!G21,RECEITAS!H21)))</f>
        <v>36562.92</v>
      </c>
      <c r="H17" s="161"/>
      <c r="I17" s="447" t="s">
        <v>1272</v>
      </c>
      <c r="J17" s="256" t="s">
        <v>647</v>
      </c>
      <c r="K17" s="256"/>
      <c r="L17" s="256"/>
      <c r="M17" s="468">
        <f>M13-M14-M15-M16</f>
        <v>1466688.6099999999</v>
      </c>
    </row>
    <row r="18" spans="2:13" ht="13.5" customHeight="1">
      <c r="B18" s="441" t="s">
        <v>1267</v>
      </c>
      <c r="C18" s="205"/>
      <c r="D18" s="205"/>
      <c r="E18" s="205"/>
      <c r="F18" s="205"/>
      <c r="G18" s="444">
        <f>IF(COMANDOBLOQUEADO!$U$6="1º TRIMESTRE",RECEITAS!E25,IF(COMANDOBLOQUEADO!$U$6="2º TRIMESTRE",RECEITAS!F25,IF(COMANDOBLOQUEADO!$U$6="3º TRIMESTRE",RECEITAS!G25,RECEITAS!H25)))</f>
        <v>4669109.43</v>
      </c>
      <c r="H18" s="161"/>
      <c r="I18" s="449" t="s">
        <v>1255</v>
      </c>
      <c r="J18" s="205" t="s">
        <v>648</v>
      </c>
      <c r="K18" s="161"/>
      <c r="L18" s="161"/>
      <c r="M18" s="444">
        <f>RESUMO!E54</f>
        <v>6212762.09</v>
      </c>
    </row>
    <row r="19" spans="2:13" ht="13.5" customHeight="1">
      <c r="B19" s="451" t="s">
        <v>1268</v>
      </c>
      <c r="C19" s="161"/>
      <c r="D19" s="161"/>
      <c r="E19" s="161"/>
      <c r="F19" s="161"/>
      <c r="G19" s="444">
        <f>IF(COMANDOBLOQUEADO!$U$6="1º TRIMESTRE",RECEITAS!E26,IF(COMANDOBLOQUEADO!$U$6="2º TRIMESTRE",RECEITAS!F26,IF(COMANDOBLOQUEADO!$U$6="3º TRIMESTRE",RECEITAS!G26,RECEITAS!H26)))</f>
        <v>835048.16</v>
      </c>
      <c r="H19" s="161"/>
      <c r="I19" s="449" t="s">
        <v>1255</v>
      </c>
      <c r="J19" s="205" t="s">
        <v>264</v>
      </c>
      <c r="K19" s="205"/>
      <c r="L19" s="205"/>
      <c r="M19" s="444">
        <f>RESUMO!E56</f>
        <v>0</v>
      </c>
    </row>
    <row r="20" spans="2:13" ht="13.5" customHeight="1">
      <c r="B20" s="908" t="s">
        <v>1269</v>
      </c>
      <c r="C20" s="773"/>
      <c r="D20" s="773"/>
      <c r="E20" s="773"/>
      <c r="F20" s="773"/>
      <c r="G20" s="444">
        <f>IF(COMANDOBLOQUEADO!$U$6="1º TRIMESTRE",RECEITAS!E27,IF(COMANDOBLOQUEADO!$U$6="2º TRIMESTRE",RECEITAS!F27,IF(COMANDOBLOQUEADO!$U$6="3º TRIMESTRE",RECEITAS!G27,RECEITAS!H27)))</f>
        <v>34339.39</v>
      </c>
      <c r="H20" s="161"/>
      <c r="I20" s="452" t="s">
        <v>1256</v>
      </c>
      <c r="J20" s="161" t="s">
        <v>650</v>
      </c>
      <c r="K20" s="161"/>
      <c r="L20" s="161"/>
      <c r="M20" s="446">
        <f>RESUMO!E57</f>
        <v>3745723.7899999996</v>
      </c>
    </row>
    <row r="21" spans="2:13" ht="13.5" customHeight="1">
      <c r="B21" s="907" t="s">
        <v>1271</v>
      </c>
      <c r="C21" s="875"/>
      <c r="D21" s="875"/>
      <c r="E21" s="875"/>
      <c r="F21" s="875"/>
      <c r="G21" s="468">
        <f>SUM(G8:G20)</f>
        <v>14443360.940000001</v>
      </c>
      <c r="H21" s="161"/>
      <c r="I21" s="447" t="s">
        <v>1272</v>
      </c>
      <c r="J21" s="209" t="s">
        <v>656</v>
      </c>
      <c r="K21" s="209"/>
      <c r="L21" s="209"/>
      <c r="M21" s="448">
        <f>M17+M18+M19-M20</f>
        <v>3933726.9099999997</v>
      </c>
    </row>
    <row r="22" spans="2:13" ht="13.5" customHeight="1">
      <c r="B22" s="908"/>
      <c r="C22" s="773"/>
      <c r="D22" s="773"/>
      <c r="E22" s="773"/>
      <c r="F22" s="773"/>
      <c r="G22" s="472"/>
      <c r="H22" s="161"/>
      <c r="I22" s="53"/>
      <c r="J22" s="209" t="s">
        <v>655</v>
      </c>
      <c r="K22" s="425"/>
      <c r="L22" s="161"/>
      <c r="M22" s="473">
        <f>M21/G21</f>
        <v>0.2723553698021757</v>
      </c>
    </row>
    <row r="23" spans="2:13" ht="13.5" customHeight="1">
      <c r="B23" s="908" t="s">
        <v>651</v>
      </c>
      <c r="C23" s="773"/>
      <c r="D23" s="773"/>
      <c r="E23" s="773"/>
      <c r="F23" s="773"/>
      <c r="G23" s="444">
        <f>IF(COMANDOBLOQUEADO!$U$6="1º TRIMESTRE",ADICIONAIS!E26,IF(COMANDOBLOQUEADO!$U$6="2º TRIMESTRE",ADICIONAIS!F26,IF(COMANDOBLOQUEADO!$U$6="3º TRIMESTRE",ADICIONAIS!G26,ADICIONAIS!H26)))</f>
        <v>1381825.19</v>
      </c>
      <c r="H23" s="161"/>
      <c r="I23" s="447"/>
      <c r="J23" s="256"/>
      <c r="K23" s="256"/>
      <c r="L23" s="256"/>
      <c r="M23" s="453"/>
    </row>
    <row r="24" spans="1:13" ht="13.5" customHeight="1">
      <c r="A24" s="206"/>
      <c r="B24" s="908" t="s">
        <v>199</v>
      </c>
      <c r="C24" s="773"/>
      <c r="D24" s="773"/>
      <c r="E24" s="773"/>
      <c r="F24" s="773"/>
      <c r="G24" s="444">
        <f>IF(COMANDOBLOQUEADO!$U$6="1º TRIMESTRE",ADICIONAIS!E43,IF(COMANDOBLOQUEADO!$U$6="2º TRIMESTRE",ADICIONAIS!F43,IF(COMANDOBLOQUEADO!$U$6="3º TRIMESTRE",ADICIONAIS!G43,ADICIONAIS!H43)))</f>
        <v>54296.29</v>
      </c>
      <c r="H24" s="161"/>
      <c r="I24" s="922"/>
      <c r="J24" s="805"/>
      <c r="K24" s="805"/>
      <c r="L24" s="805"/>
      <c r="M24" s="453"/>
    </row>
    <row r="25" spans="1:13" ht="13.5" customHeight="1">
      <c r="A25" s="454"/>
      <c r="B25" s="908" t="s">
        <v>654</v>
      </c>
      <c r="C25" s="773"/>
      <c r="D25" s="773"/>
      <c r="E25" s="773"/>
      <c r="F25" s="773"/>
      <c r="G25" s="444">
        <f>IF(COMANDOBLOQUEADO!$U$6="1º TRIMESTRE",ADICIONAIS!E51,IF(COMANDOBLOQUEADO!$U$6="2º TRIMESTRE",ADICIONAIS!F51,IF(COMANDOBLOQUEADO!$U$6="3º TRIMESTRE",ADICIONAIS!G51,ADICIONAIS!H51)))</f>
        <v>0</v>
      </c>
      <c r="H25" s="161"/>
      <c r="I25" s="922" t="s">
        <v>766</v>
      </c>
      <c r="J25" s="805"/>
      <c r="K25" s="805"/>
      <c r="L25" s="805"/>
      <c r="M25" s="470"/>
    </row>
    <row r="26" spans="2:13" ht="13.5" customHeight="1">
      <c r="B26" s="908" t="s">
        <v>652</v>
      </c>
      <c r="C26" s="773"/>
      <c r="D26" s="773"/>
      <c r="E26" s="773"/>
      <c r="F26" s="773"/>
      <c r="G26" s="444">
        <f>IF(COMANDOBLOQUEADO!$U$6="1º TRIMESTRE",RECEITAS!E45,IF(COMANDOBLOQUEADO!$U$6="2º TRIMESTRE",RECEITAS!F45,IF(COMANDOBLOQUEADO!$U$6="3º TRIMESTRE",RECEITAS!G45,RECEITAS!H45)))</f>
        <v>6242462.49</v>
      </c>
      <c r="H26" s="161"/>
      <c r="I26" s="455"/>
      <c r="J26" s="205" t="s">
        <v>657</v>
      </c>
      <c r="K26" s="205"/>
      <c r="L26" s="205"/>
      <c r="M26" s="457">
        <f>RESUMO!E48</f>
        <v>0.9953062395195231</v>
      </c>
    </row>
    <row r="27" spans="2:13" ht="13.5" customHeight="1">
      <c r="B27" s="445" t="s">
        <v>653</v>
      </c>
      <c r="C27" s="205"/>
      <c r="D27" s="205"/>
      <c r="E27" s="205"/>
      <c r="F27" s="205"/>
      <c r="G27" s="444">
        <f>IF(COMANDOBLOQUEADO!$U$6="1º TRIMESTRE",RECEITAS!E46,IF(COMANDOBLOQUEADO!$U$6="2º TRIMESTRE",RECEITAS!F46,IF(COMANDOBLOQUEADO!$U$6="3º TRIMESTRE",RECEITAS!G46,RECEITAS!H46)))</f>
        <v>85171.85</v>
      </c>
      <c r="H27" s="161"/>
      <c r="I27" s="455"/>
      <c r="J27" s="161" t="s">
        <v>658</v>
      </c>
      <c r="K27" s="256"/>
      <c r="L27" s="256"/>
      <c r="M27" s="457">
        <f>RESUMO!E44</f>
        <v>0.6190507019721371</v>
      </c>
    </row>
    <row r="28" spans="2:13" ht="13.5" customHeight="1">
      <c r="B28" s="907" t="s">
        <v>1171</v>
      </c>
      <c r="C28" s="773"/>
      <c r="D28" s="773"/>
      <c r="E28" s="773"/>
      <c r="F28" s="773"/>
      <c r="G28" s="468">
        <f>SUM(G23:G27)</f>
        <v>7763755.82</v>
      </c>
      <c r="H28" s="161"/>
      <c r="I28" s="458"/>
      <c r="J28" s="256"/>
      <c r="K28" s="256"/>
      <c r="L28" s="256"/>
      <c r="M28" s="471"/>
    </row>
    <row r="29" spans="2:13" ht="13.5" customHeight="1">
      <c r="B29" s="907"/>
      <c r="C29" s="773"/>
      <c r="D29" s="773"/>
      <c r="E29" s="773"/>
      <c r="F29" s="773"/>
      <c r="G29" s="450"/>
      <c r="H29" s="161"/>
      <c r="I29" s="458"/>
      <c r="J29" s="256"/>
      <c r="K29" s="256"/>
      <c r="L29" s="256"/>
      <c r="M29" s="471"/>
    </row>
    <row r="30" spans="2:13" ht="13.5" customHeight="1">
      <c r="B30" s="907" t="s">
        <v>1270</v>
      </c>
      <c r="C30" s="773"/>
      <c r="D30" s="773"/>
      <c r="E30" s="773"/>
      <c r="F30" s="773"/>
      <c r="G30" s="448">
        <f>G21+G28</f>
        <v>22207116.76</v>
      </c>
      <c r="H30" s="161"/>
      <c r="I30" s="459" t="s">
        <v>191</v>
      </c>
      <c r="J30" s="256"/>
      <c r="K30" s="256"/>
      <c r="L30" s="256"/>
      <c r="M30" s="456">
        <f>FINANCEIRO!J16</f>
        <v>1235637.75</v>
      </c>
    </row>
    <row r="31" spans="2:13" ht="6.75" customHeight="1" thickBot="1">
      <c r="B31" s="460"/>
      <c r="C31" s="229"/>
      <c r="D31" s="461"/>
      <c r="E31" s="461"/>
      <c r="F31" s="461"/>
      <c r="G31" s="462"/>
      <c r="H31" s="176"/>
      <c r="I31" s="463"/>
      <c r="J31" s="464"/>
      <c r="K31" s="464"/>
      <c r="L31" s="464"/>
      <c r="M31" s="462"/>
    </row>
    <row r="32" spans="2:13" ht="12.75" customHeight="1">
      <c r="B32" s="63"/>
      <c r="C32" s="54"/>
      <c r="D32" s="64"/>
      <c r="E32" s="64"/>
      <c r="F32" s="64"/>
      <c r="G32" s="176"/>
      <c r="H32" s="176"/>
      <c r="I32" s="465"/>
      <c r="J32" s="176"/>
      <c r="K32" s="176"/>
      <c r="L32" s="176"/>
      <c r="M32" s="176"/>
    </row>
    <row r="33" spans="2:13" ht="12.75" customHeight="1">
      <c r="B33" s="65"/>
      <c r="C33" s="54"/>
      <c r="I33" s="176"/>
      <c r="J33" s="176"/>
      <c r="K33" s="176"/>
      <c r="L33" s="176"/>
      <c r="M33" s="176"/>
    </row>
    <row r="34" spans="1:13" ht="14.25">
      <c r="A34" s="169"/>
      <c r="B34" s="836" t="s">
        <v>204</v>
      </c>
      <c r="C34" s="836"/>
      <c r="D34" s="836"/>
      <c r="E34" s="836"/>
      <c r="F34" s="836" t="s">
        <v>205</v>
      </c>
      <c r="G34" s="541"/>
      <c r="H34" s="541"/>
      <c r="I34" s="541"/>
      <c r="J34" s="541"/>
      <c r="K34" s="836" t="s">
        <v>201</v>
      </c>
      <c r="L34" s="541"/>
      <c r="M34" s="541"/>
    </row>
    <row r="35" spans="2:13" ht="12.75">
      <c r="B35" s="920" t="s">
        <v>752</v>
      </c>
      <c r="C35" s="920"/>
      <c r="D35" s="920"/>
      <c r="E35" s="920"/>
      <c r="F35" s="919" t="s">
        <v>751</v>
      </c>
      <c r="G35" s="545"/>
      <c r="H35" s="545"/>
      <c r="I35" s="545"/>
      <c r="J35" s="545"/>
      <c r="K35" s="920" t="s">
        <v>978</v>
      </c>
      <c r="L35" s="920"/>
      <c r="M35" s="920"/>
    </row>
    <row r="36" spans="2:13" ht="14.25">
      <c r="B36" s="836" t="s">
        <v>1134</v>
      </c>
      <c r="C36" s="836"/>
      <c r="D36" s="836"/>
      <c r="E36" s="836"/>
      <c r="F36" s="836" t="s">
        <v>206</v>
      </c>
      <c r="G36" s="541"/>
      <c r="H36" s="541"/>
      <c r="I36" s="541"/>
      <c r="J36" s="541"/>
      <c r="K36" s="836" t="s">
        <v>1136</v>
      </c>
      <c r="L36" s="921"/>
      <c r="M36" s="921"/>
    </row>
    <row r="37" spans="2:11" ht="15.75">
      <c r="B37" s="232"/>
      <c r="C37" s="454"/>
      <c r="D37" s="176"/>
      <c r="E37" s="176"/>
      <c r="F37" s="176"/>
      <c r="G37" s="176"/>
      <c r="H37" s="176"/>
      <c r="I37" s="176"/>
      <c r="J37" s="176"/>
      <c r="K37" s="176"/>
    </row>
    <row r="38" spans="2:13" ht="15.75">
      <c r="B38" s="232"/>
      <c r="C38" s="454"/>
      <c r="D38" s="422"/>
      <c r="E38" s="422"/>
      <c r="F38" s="422"/>
      <c r="G38" s="422"/>
      <c r="H38" s="422"/>
      <c r="I38" s="206"/>
      <c r="J38" s="422"/>
      <c r="K38" s="422"/>
      <c r="L38" s="206"/>
      <c r="M38" s="206"/>
    </row>
    <row r="39" spans="2:13" ht="15.75">
      <c r="B39" s="232"/>
      <c r="C39" s="454"/>
      <c r="D39" s="65"/>
      <c r="E39" s="65"/>
      <c r="F39" s="206"/>
      <c r="G39" s="65"/>
      <c r="H39" s="65"/>
      <c r="I39" s="206"/>
      <c r="J39" s="422"/>
      <c r="K39" s="422"/>
      <c r="L39" s="206"/>
      <c r="M39" s="422"/>
    </row>
    <row r="40" spans="2:13" ht="15.75">
      <c r="B40" s="466"/>
      <c r="C40" s="466"/>
      <c r="D40" s="233"/>
      <c r="E40" s="233"/>
      <c r="F40" s="467"/>
      <c r="G40" s="467"/>
      <c r="H40" s="467"/>
      <c r="I40" s="467"/>
      <c r="J40" s="467"/>
      <c r="K40" s="467"/>
      <c r="L40" s="206"/>
      <c r="M40" s="233"/>
    </row>
    <row r="41" spans="2:13" ht="15.75">
      <c r="B41" s="92"/>
      <c r="C41" s="454"/>
      <c r="D41" s="205"/>
      <c r="E41" s="205"/>
      <c r="F41" s="205"/>
      <c r="G41" s="206"/>
      <c r="H41" s="206"/>
      <c r="I41" s="206"/>
      <c r="J41" s="206"/>
      <c r="K41" s="206"/>
      <c r="L41" s="206"/>
      <c r="M41" s="206"/>
    </row>
    <row r="42" spans="2:13" ht="15.75">
      <c r="B42" s="92"/>
      <c r="C42" s="454"/>
      <c r="D42" s="205"/>
      <c r="E42" s="205"/>
      <c r="F42" s="205"/>
      <c r="G42" s="206"/>
      <c r="H42" s="206"/>
      <c r="I42" s="206"/>
      <c r="J42" s="206"/>
      <c r="K42" s="206"/>
      <c r="L42" s="206"/>
      <c r="M42" s="206"/>
    </row>
    <row r="43" spans="2:13" ht="15.75">
      <c r="B43" s="107"/>
      <c r="C43" s="107"/>
      <c r="D43" s="205"/>
      <c r="E43" s="205"/>
      <c r="F43" s="205"/>
      <c r="G43" s="206"/>
      <c r="H43" s="206"/>
      <c r="I43" s="206"/>
      <c r="J43" s="206"/>
      <c r="K43" s="206"/>
      <c r="L43" s="206"/>
      <c r="M43" s="206"/>
    </row>
    <row r="44" spans="2:13" ht="15.75">
      <c r="B44" s="92"/>
      <c r="C44" s="454"/>
      <c r="D44" s="205"/>
      <c r="E44" s="205"/>
      <c r="F44" s="205"/>
      <c r="G44" s="206"/>
      <c r="H44" s="206"/>
      <c r="I44" s="206"/>
      <c r="J44" s="206"/>
      <c r="K44" s="206"/>
      <c r="L44" s="206"/>
      <c r="M44" s="206"/>
    </row>
    <row r="45" spans="2:6" ht="15.75">
      <c r="B45" s="912"/>
      <c r="C45" s="912"/>
      <c r="D45" s="161"/>
      <c r="E45" s="161"/>
      <c r="F45" s="161"/>
    </row>
    <row r="46" spans="2:6" ht="15.75">
      <c r="B46" s="92"/>
      <c r="C46" s="454"/>
      <c r="D46" s="161"/>
      <c r="E46" s="161"/>
      <c r="F46" s="161"/>
    </row>
    <row r="47" spans="2:6" ht="15.75">
      <c r="B47" s="92"/>
      <c r="C47" s="454"/>
      <c r="D47" s="161"/>
      <c r="E47" s="161"/>
      <c r="F47" s="161"/>
    </row>
    <row r="48" spans="2:6" ht="15.75">
      <c r="B48" s="232"/>
      <c r="C48" s="454"/>
      <c r="D48" s="161"/>
      <c r="E48" s="161"/>
      <c r="F48" s="161"/>
    </row>
    <row r="49" spans="2:6" ht="15">
      <c r="B49" s="842"/>
      <c r="C49" s="845"/>
      <c r="D49" s="161"/>
      <c r="E49" s="161"/>
      <c r="F49" s="161"/>
    </row>
  </sheetData>
  <sheetProtection password="DEF0" sheet="1" objects="1" scenarios="1"/>
  <mergeCells count="49">
    <mergeCell ref="K36:M36"/>
    <mergeCell ref="K34:M34"/>
    <mergeCell ref="K35:M35"/>
    <mergeCell ref="J15:L15"/>
    <mergeCell ref="J16:L16"/>
    <mergeCell ref="I24:L24"/>
    <mergeCell ref="I25:L25"/>
    <mergeCell ref="B36:E36"/>
    <mergeCell ref="B34:E34"/>
    <mergeCell ref="F34:J34"/>
    <mergeCell ref="F35:J35"/>
    <mergeCell ref="F36:J36"/>
    <mergeCell ref="B35:E35"/>
    <mergeCell ref="I8:L8"/>
    <mergeCell ref="I6:L6"/>
    <mergeCell ref="B8:F8"/>
    <mergeCell ref="B7:F7"/>
    <mergeCell ref="B6:F6"/>
    <mergeCell ref="B3:I3"/>
    <mergeCell ref="B2:M2"/>
    <mergeCell ref="B4:C4"/>
    <mergeCell ref="D4:G4"/>
    <mergeCell ref="B45:C45"/>
    <mergeCell ref="B49:C49"/>
    <mergeCell ref="B9:F9"/>
    <mergeCell ref="B10:F10"/>
    <mergeCell ref="B23:F23"/>
    <mergeCell ref="B24:F24"/>
    <mergeCell ref="B22:F22"/>
    <mergeCell ref="B15:F15"/>
    <mergeCell ref="B16:F16"/>
    <mergeCell ref="B29:F29"/>
    <mergeCell ref="I9:L9"/>
    <mergeCell ref="I11:L11"/>
    <mergeCell ref="I12:L12"/>
    <mergeCell ref="B26:F26"/>
    <mergeCell ref="B17:F17"/>
    <mergeCell ref="B14:F14"/>
    <mergeCell ref="I10:L10"/>
    <mergeCell ref="J13:L13"/>
    <mergeCell ref="J14:L14"/>
    <mergeCell ref="B30:F30"/>
    <mergeCell ref="B21:F21"/>
    <mergeCell ref="B28:F28"/>
    <mergeCell ref="B11:F11"/>
    <mergeCell ref="B12:F12"/>
    <mergeCell ref="B13:F13"/>
    <mergeCell ref="B25:F25"/>
    <mergeCell ref="B20:F20"/>
  </mergeCells>
  <printOptions/>
  <pageMargins left="0.51" right="0.51" top="0.55" bottom="1" header="0.29" footer="0.492125985"/>
  <pageSetup horizontalDpi="360" verticalDpi="360" orientation="landscape" paperSize="9" scale="83" r:id="rId2"/>
  <legacyDrawing r:id="rId1"/>
</worksheet>
</file>

<file path=xl/worksheets/sheet22.xml><?xml version="1.0" encoding="utf-8"?>
<worksheet xmlns="http://schemas.openxmlformats.org/spreadsheetml/2006/main" xmlns:r="http://schemas.openxmlformats.org/officeDocument/2006/relationships">
  <sheetPr codeName="Plan20"/>
  <dimension ref="A1:J58"/>
  <sheetViews>
    <sheetView showGridLines="0" showRowColHeaders="0" zoomScale="75" zoomScaleNormal="75" zoomScalePageLayoutView="0" workbookViewId="0" topLeftCell="C1">
      <selection activeCell="H47" sqref="H47"/>
    </sheetView>
  </sheetViews>
  <sheetFormatPr defaultColWidth="0" defaultRowHeight="12.75"/>
  <cols>
    <col min="1" max="1" width="2.421875" style="58" customWidth="1"/>
    <col min="2" max="2" width="12.7109375" style="58" customWidth="1"/>
    <col min="3" max="3" width="43.7109375" style="58" customWidth="1"/>
    <col min="4" max="9" width="23.7109375" style="58" customWidth="1"/>
    <col min="10" max="10" width="3.57421875" style="58" customWidth="1"/>
    <col min="11" max="16384" width="0" style="58" hidden="1" customWidth="1"/>
  </cols>
  <sheetData>
    <row r="1" spans="1:10" ht="7.5" customHeight="1">
      <c r="A1" s="119"/>
      <c r="B1" s="120"/>
      <c r="C1" s="120"/>
      <c r="D1" s="120"/>
      <c r="E1" s="120"/>
      <c r="F1" s="120"/>
      <c r="G1" s="120"/>
      <c r="H1" s="120"/>
      <c r="I1" s="120"/>
      <c r="J1" s="120"/>
    </row>
    <row r="2" spans="1:10" ht="12.75" customHeight="1">
      <c r="A2" s="119"/>
      <c r="B2" s="677" t="s">
        <v>1146</v>
      </c>
      <c r="C2" s="923"/>
      <c r="D2" s="682" t="str">
        <f>COMANDOBLOQUEADO!S19</f>
        <v>CESÁRIO LANGE</v>
      </c>
      <c r="E2" s="724"/>
      <c r="F2" s="682"/>
      <c r="G2" s="924" t="s">
        <v>268</v>
      </c>
      <c r="H2" s="682" t="str">
        <f>COMANDOBLOQUEADO!U6</f>
        <v>4º TRIMESTRE</v>
      </c>
      <c r="I2" s="682" t="str">
        <f>COMANDOBLOQUEADO!Y6</f>
        <v>2009</v>
      </c>
      <c r="J2" s="120"/>
    </row>
    <row r="3" spans="1:10" ht="12.75" customHeight="1">
      <c r="A3" s="119"/>
      <c r="B3" s="677"/>
      <c r="C3" s="923"/>
      <c r="D3" s="682"/>
      <c r="E3" s="682"/>
      <c r="F3" s="682"/>
      <c r="G3" s="682"/>
      <c r="H3" s="682"/>
      <c r="I3" s="682"/>
      <c r="J3" s="120"/>
    </row>
    <row r="4" spans="1:10" ht="12.75" customHeight="1">
      <c r="A4" s="120"/>
      <c r="B4" s="154"/>
      <c r="C4" s="57"/>
      <c r="D4" s="57"/>
      <c r="E4" s="57"/>
      <c r="F4" s="57"/>
      <c r="G4" s="57"/>
      <c r="H4" s="57"/>
      <c r="I4" s="57"/>
      <c r="J4" s="120"/>
    </row>
    <row r="5" spans="1:10" ht="21" thickBot="1">
      <c r="A5" s="122"/>
      <c r="B5" s="660" t="s">
        <v>22</v>
      </c>
      <c r="C5" s="661"/>
      <c r="D5" s="661"/>
      <c r="E5" s="661"/>
      <c r="F5" s="661"/>
      <c r="G5" s="661"/>
      <c r="H5" s="661"/>
      <c r="I5" s="661"/>
      <c r="J5" s="120"/>
    </row>
    <row r="6" spans="1:10" ht="15" customHeight="1">
      <c r="A6" s="122"/>
      <c r="B6" s="693" t="s">
        <v>259</v>
      </c>
      <c r="C6" s="694"/>
      <c r="D6" s="123" t="s">
        <v>294</v>
      </c>
      <c r="E6" s="123" t="s">
        <v>295</v>
      </c>
      <c r="F6" s="123" t="s">
        <v>296</v>
      </c>
      <c r="G6" s="123" t="s">
        <v>297</v>
      </c>
      <c r="H6" s="668" t="s">
        <v>1188</v>
      </c>
      <c r="I6" s="679" t="s">
        <v>1189</v>
      </c>
      <c r="J6" s="120"/>
    </row>
    <row r="7" spans="1:10" ht="15" customHeight="1">
      <c r="A7" s="122"/>
      <c r="B7" s="695"/>
      <c r="C7" s="696"/>
      <c r="D7" s="673" t="s">
        <v>1190</v>
      </c>
      <c r="E7" s="675" t="s">
        <v>1111</v>
      </c>
      <c r="F7" s="675" t="s">
        <v>1111</v>
      </c>
      <c r="G7" s="675" t="s">
        <v>1111</v>
      </c>
      <c r="H7" s="669"/>
      <c r="I7" s="680"/>
      <c r="J7" s="120"/>
    </row>
    <row r="8" spans="1:10" ht="15" customHeight="1" thickBot="1">
      <c r="A8" s="122"/>
      <c r="B8" s="697"/>
      <c r="C8" s="698"/>
      <c r="D8" s="674"/>
      <c r="E8" s="708"/>
      <c r="F8" s="708"/>
      <c r="G8" s="708"/>
      <c r="H8" s="670"/>
      <c r="I8" s="681"/>
      <c r="J8" s="120"/>
    </row>
    <row r="9" spans="1:10" ht="13.5" customHeight="1" thickBot="1">
      <c r="A9" s="122"/>
      <c r="B9" s="124" t="s">
        <v>1176</v>
      </c>
      <c r="C9" s="125" t="s">
        <v>23</v>
      </c>
      <c r="D9" s="126" t="s">
        <v>192</v>
      </c>
      <c r="E9" s="126" t="s">
        <v>192</v>
      </c>
      <c r="F9" s="126" t="s">
        <v>192</v>
      </c>
      <c r="G9" s="126" t="s">
        <v>192</v>
      </c>
      <c r="H9" s="126" t="s">
        <v>192</v>
      </c>
      <c r="I9" s="127" t="s">
        <v>192</v>
      </c>
      <c r="J9" s="120"/>
    </row>
    <row r="10" spans="1:10" ht="13.5" customHeight="1">
      <c r="A10" s="122"/>
      <c r="B10" s="131" t="s">
        <v>1173</v>
      </c>
      <c r="C10" s="67" t="s">
        <v>1163</v>
      </c>
      <c r="D10" s="129">
        <v>0</v>
      </c>
      <c r="E10" s="129">
        <v>0</v>
      </c>
      <c r="F10" s="129">
        <v>0</v>
      </c>
      <c r="G10" s="129"/>
      <c r="H10" s="129"/>
      <c r="I10" s="130"/>
      <c r="J10" s="120"/>
    </row>
    <row r="11" spans="1:10" ht="13.5" customHeight="1">
      <c r="A11" s="122"/>
      <c r="B11" s="131" t="s">
        <v>1164</v>
      </c>
      <c r="C11" s="67" t="s">
        <v>1165</v>
      </c>
      <c r="D11" s="129">
        <v>0</v>
      </c>
      <c r="E11" s="129">
        <v>0</v>
      </c>
      <c r="F11" s="129">
        <v>0</v>
      </c>
      <c r="G11" s="129">
        <v>0</v>
      </c>
      <c r="H11" s="129">
        <v>0</v>
      </c>
      <c r="I11" s="130">
        <v>0</v>
      </c>
      <c r="J11" s="120"/>
    </row>
    <row r="12" spans="1:10" ht="13.5" customHeight="1">
      <c r="A12" s="122"/>
      <c r="B12" s="131" t="s">
        <v>1166</v>
      </c>
      <c r="C12" s="67" t="s">
        <v>1167</v>
      </c>
      <c r="D12" s="129">
        <v>0</v>
      </c>
      <c r="E12" s="129">
        <v>0</v>
      </c>
      <c r="F12" s="129">
        <v>0</v>
      </c>
      <c r="G12" s="129"/>
      <c r="H12" s="129"/>
      <c r="I12" s="130"/>
      <c r="J12" s="120"/>
    </row>
    <row r="13" spans="1:10" ht="13.5" customHeight="1">
      <c r="A13" s="122"/>
      <c r="B13" s="131" t="s">
        <v>1168</v>
      </c>
      <c r="C13" s="67" t="s">
        <v>1242</v>
      </c>
      <c r="D13" s="129">
        <v>0</v>
      </c>
      <c r="E13" s="129">
        <v>0</v>
      </c>
      <c r="F13" s="129">
        <v>0</v>
      </c>
      <c r="G13" s="129"/>
      <c r="H13" s="129"/>
      <c r="I13" s="130"/>
      <c r="J13" s="120"/>
    </row>
    <row r="14" spans="1:10" ht="13.5" customHeight="1" thickBot="1">
      <c r="A14" s="122"/>
      <c r="B14" s="132"/>
      <c r="C14" s="133"/>
      <c r="D14" s="129">
        <v>0</v>
      </c>
      <c r="E14" s="129">
        <v>0</v>
      </c>
      <c r="F14" s="129">
        <v>0</v>
      </c>
      <c r="G14" s="129"/>
      <c r="H14" s="129"/>
      <c r="I14" s="130"/>
      <c r="J14" s="120"/>
    </row>
    <row r="15" spans="1:10" ht="13.5" customHeight="1" thickBot="1">
      <c r="A15" s="122"/>
      <c r="B15" s="134"/>
      <c r="C15" s="135" t="s">
        <v>1102</v>
      </c>
      <c r="D15" s="136">
        <f aca="true" t="shared" si="0" ref="D15:I15">SUM(D10:D14)</f>
        <v>0</v>
      </c>
      <c r="E15" s="136">
        <f t="shared" si="0"/>
        <v>0</v>
      </c>
      <c r="F15" s="136">
        <f t="shared" si="0"/>
        <v>0</v>
      </c>
      <c r="G15" s="136">
        <f t="shared" si="0"/>
        <v>0</v>
      </c>
      <c r="H15" s="136">
        <f t="shared" si="0"/>
        <v>0</v>
      </c>
      <c r="I15" s="193">
        <f t="shared" si="0"/>
        <v>0</v>
      </c>
      <c r="J15" s="120"/>
    </row>
    <row r="16" spans="2:10" ht="13.5" customHeight="1" thickBot="1">
      <c r="B16" s="124" t="s">
        <v>1176</v>
      </c>
      <c r="C16" s="125" t="s">
        <v>24</v>
      </c>
      <c r="D16" s="126" t="s">
        <v>192</v>
      </c>
      <c r="E16" s="126" t="s">
        <v>192</v>
      </c>
      <c r="F16" s="126" t="s">
        <v>192</v>
      </c>
      <c r="G16" s="126" t="s">
        <v>192</v>
      </c>
      <c r="H16" s="126" t="s">
        <v>192</v>
      </c>
      <c r="I16" s="127" t="s">
        <v>192</v>
      </c>
      <c r="J16" s="143"/>
    </row>
    <row r="17" spans="1:10" ht="13.5" customHeight="1">
      <c r="A17" s="122"/>
      <c r="B17" s="131" t="s">
        <v>1173</v>
      </c>
      <c r="C17" s="67" t="s">
        <v>1163</v>
      </c>
      <c r="D17" s="129">
        <v>0</v>
      </c>
      <c r="E17" s="129">
        <v>0</v>
      </c>
      <c r="F17" s="129">
        <v>0</v>
      </c>
      <c r="G17" s="129">
        <v>0</v>
      </c>
      <c r="H17" s="129">
        <v>0</v>
      </c>
      <c r="I17" s="130">
        <v>0</v>
      </c>
      <c r="J17" s="120"/>
    </row>
    <row r="18" spans="2:10" ht="13.5" customHeight="1">
      <c r="B18" s="131" t="s">
        <v>1164</v>
      </c>
      <c r="C18" s="67" t="s">
        <v>1165</v>
      </c>
      <c r="D18" s="129">
        <v>78918.33</v>
      </c>
      <c r="E18" s="129">
        <v>78918.33</v>
      </c>
      <c r="F18" s="129">
        <v>78918.33</v>
      </c>
      <c r="G18" s="129">
        <v>78918.33</v>
      </c>
      <c r="H18" s="129">
        <v>78918.33</v>
      </c>
      <c r="I18" s="129">
        <v>78918.33</v>
      </c>
      <c r="J18" s="143"/>
    </row>
    <row r="19" spans="2:10" ht="13.5" customHeight="1">
      <c r="B19" s="131" t="s">
        <v>1166</v>
      </c>
      <c r="C19" s="67" t="s">
        <v>1167</v>
      </c>
      <c r="D19" s="129">
        <v>13180.74</v>
      </c>
      <c r="E19" s="129">
        <v>13180.74</v>
      </c>
      <c r="F19" s="129">
        <v>13180.74</v>
      </c>
      <c r="G19" s="129">
        <v>13180.74</v>
      </c>
      <c r="H19" s="129">
        <v>13180.74</v>
      </c>
      <c r="I19" s="129">
        <v>13180.74</v>
      </c>
      <c r="J19" s="143"/>
    </row>
    <row r="20" spans="2:10" ht="13.5" customHeight="1">
      <c r="B20" s="131" t="s">
        <v>1174</v>
      </c>
      <c r="C20" s="67" t="s">
        <v>1175</v>
      </c>
      <c r="D20" s="129">
        <v>101617.5</v>
      </c>
      <c r="E20" s="129">
        <v>101617.5</v>
      </c>
      <c r="F20" s="129">
        <v>101617.5</v>
      </c>
      <c r="G20" s="129">
        <v>101617.5</v>
      </c>
      <c r="H20" s="129">
        <v>101617.5</v>
      </c>
      <c r="I20" s="129">
        <v>101617.5</v>
      </c>
      <c r="J20" s="143"/>
    </row>
    <row r="21" spans="2:10" ht="13.5" customHeight="1">
      <c r="B21" s="131" t="s">
        <v>1177</v>
      </c>
      <c r="C21" s="67" t="s">
        <v>1178</v>
      </c>
      <c r="D21" s="129">
        <v>0</v>
      </c>
      <c r="E21" s="129">
        <v>0</v>
      </c>
      <c r="F21" s="129">
        <v>0</v>
      </c>
      <c r="G21" s="129">
        <v>0</v>
      </c>
      <c r="H21" s="129">
        <v>0</v>
      </c>
      <c r="I21" s="130">
        <v>0</v>
      </c>
      <c r="J21" s="143"/>
    </row>
    <row r="22" spans="2:10" ht="13.5" customHeight="1">
      <c r="B22" s="131" t="s">
        <v>1180</v>
      </c>
      <c r="C22" s="67" t="s">
        <v>1179</v>
      </c>
      <c r="D22" s="129">
        <v>0</v>
      </c>
      <c r="E22" s="129">
        <v>0</v>
      </c>
      <c r="F22" s="129">
        <v>0</v>
      </c>
      <c r="G22" s="129">
        <v>0</v>
      </c>
      <c r="H22" s="129">
        <v>0</v>
      </c>
      <c r="I22" s="130">
        <v>0</v>
      </c>
      <c r="J22" s="143"/>
    </row>
    <row r="23" spans="2:10" ht="13.5" customHeight="1">
      <c r="B23" s="131" t="s">
        <v>486</v>
      </c>
      <c r="C23" s="67" t="s">
        <v>1181</v>
      </c>
      <c r="D23" s="129">
        <v>0</v>
      </c>
      <c r="E23" s="129">
        <v>0</v>
      </c>
      <c r="F23" s="129">
        <v>0</v>
      </c>
      <c r="G23" s="129">
        <v>0</v>
      </c>
      <c r="H23" s="129">
        <v>0</v>
      </c>
      <c r="I23" s="130">
        <v>0</v>
      </c>
      <c r="J23" s="143"/>
    </row>
    <row r="24" spans="2:10" ht="13.5" customHeight="1">
      <c r="B24" s="131" t="s">
        <v>487</v>
      </c>
      <c r="C24" s="67" t="s">
        <v>25</v>
      </c>
      <c r="D24" s="129">
        <v>0</v>
      </c>
      <c r="E24" s="129">
        <v>0</v>
      </c>
      <c r="F24" s="129">
        <v>0</v>
      </c>
      <c r="G24" s="129">
        <v>0</v>
      </c>
      <c r="H24" s="129">
        <v>0</v>
      </c>
      <c r="I24" s="130">
        <v>0</v>
      </c>
      <c r="J24" s="143"/>
    </row>
    <row r="25" spans="2:10" ht="13.5" customHeight="1">
      <c r="B25" s="132"/>
      <c r="C25" s="133"/>
      <c r="D25" s="129"/>
      <c r="E25" s="129"/>
      <c r="F25" s="129"/>
      <c r="G25" s="129"/>
      <c r="H25" s="129"/>
      <c r="I25" s="130"/>
      <c r="J25" s="143"/>
    </row>
    <row r="26" spans="2:10" ht="13.5" customHeight="1">
      <c r="B26" s="132"/>
      <c r="C26" s="133"/>
      <c r="D26" s="129"/>
      <c r="E26" s="129"/>
      <c r="F26" s="129"/>
      <c r="G26" s="129"/>
      <c r="H26" s="129"/>
      <c r="I26" s="130"/>
      <c r="J26" s="143"/>
    </row>
    <row r="27" spans="2:10" ht="13.5" customHeight="1">
      <c r="B27" s="132"/>
      <c r="C27" s="133"/>
      <c r="D27" s="129"/>
      <c r="E27" s="129"/>
      <c r="F27" s="129"/>
      <c r="G27" s="129"/>
      <c r="H27" s="129"/>
      <c r="I27" s="130"/>
      <c r="J27" s="143"/>
    </row>
    <row r="28" spans="2:10" ht="13.5" customHeight="1" thickBot="1">
      <c r="B28" s="132"/>
      <c r="C28" s="133"/>
      <c r="D28" s="129"/>
      <c r="E28" s="129"/>
      <c r="F28" s="129"/>
      <c r="G28" s="129"/>
      <c r="H28" s="129"/>
      <c r="I28" s="130"/>
      <c r="J28" s="143"/>
    </row>
    <row r="29" spans="1:10" ht="13.5" customHeight="1" thickBot="1">
      <c r="A29" s="122"/>
      <c r="B29" s="137"/>
      <c r="C29" s="125" t="s">
        <v>1102</v>
      </c>
      <c r="D29" s="138">
        <f aca="true" t="shared" si="1" ref="D29:I29">SUM(D17:D28)</f>
        <v>193716.57</v>
      </c>
      <c r="E29" s="138">
        <f t="shared" si="1"/>
        <v>193716.57</v>
      </c>
      <c r="F29" s="138">
        <f t="shared" si="1"/>
        <v>193716.57</v>
      </c>
      <c r="G29" s="138">
        <f t="shared" si="1"/>
        <v>193716.57</v>
      </c>
      <c r="H29" s="138">
        <f t="shared" si="1"/>
        <v>193716.57</v>
      </c>
      <c r="I29" s="139">
        <f t="shared" si="1"/>
        <v>193716.57</v>
      </c>
      <c r="J29" s="120"/>
    </row>
    <row r="30" spans="1:10" ht="13.5" customHeight="1" thickBot="1">
      <c r="A30" s="140"/>
      <c r="B30" s="658" t="s">
        <v>659</v>
      </c>
      <c r="C30" s="659"/>
      <c r="D30" s="141">
        <f aca="true" t="shared" si="2" ref="D30:I30">D15+D29</f>
        <v>193716.57</v>
      </c>
      <c r="E30" s="141">
        <f t="shared" si="2"/>
        <v>193716.57</v>
      </c>
      <c r="F30" s="141">
        <f t="shared" si="2"/>
        <v>193716.57</v>
      </c>
      <c r="G30" s="141">
        <f t="shared" si="2"/>
        <v>193716.57</v>
      </c>
      <c r="H30" s="141">
        <f t="shared" si="2"/>
        <v>193716.57</v>
      </c>
      <c r="I30" s="194">
        <f t="shared" si="2"/>
        <v>193716.57</v>
      </c>
      <c r="J30" s="120"/>
    </row>
    <row r="31" spans="1:10" ht="13.5" customHeight="1">
      <c r="A31" s="140"/>
      <c r="B31" s="52"/>
      <c r="C31" s="52"/>
      <c r="D31" s="153"/>
      <c r="E31" s="153"/>
      <c r="F31" s="153"/>
      <c r="G31" s="153"/>
      <c r="H31" s="153"/>
      <c r="I31" s="153"/>
      <c r="J31" s="120"/>
    </row>
    <row r="32" spans="1:10" ht="24.75" customHeight="1">
      <c r="A32" s="140"/>
      <c r="B32" s="52"/>
      <c r="C32" s="52"/>
      <c r="D32" s="153"/>
      <c r="E32" s="153"/>
      <c r="F32" s="153"/>
      <c r="G32" s="153"/>
      <c r="H32" s="153"/>
      <c r="I32" s="153"/>
      <c r="J32" s="120"/>
    </row>
    <row r="33" spans="1:10" ht="21" thickBot="1">
      <c r="A33" s="122"/>
      <c r="B33" s="660" t="s">
        <v>761</v>
      </c>
      <c r="C33" s="661"/>
      <c r="D33" s="661"/>
      <c r="E33" s="661"/>
      <c r="F33" s="661"/>
      <c r="G33" s="661"/>
      <c r="H33" s="661"/>
      <c r="I33" s="661"/>
      <c r="J33" s="120"/>
    </row>
    <row r="34" spans="1:10" ht="15" customHeight="1">
      <c r="A34" s="122"/>
      <c r="B34" s="693" t="s">
        <v>260</v>
      </c>
      <c r="C34" s="694"/>
      <c r="D34" s="123" t="s">
        <v>294</v>
      </c>
      <c r="E34" s="123" t="s">
        <v>295</v>
      </c>
      <c r="F34" s="123" t="s">
        <v>296</v>
      </c>
      <c r="G34" s="123" t="s">
        <v>297</v>
      </c>
      <c r="H34" s="668" t="s">
        <v>1188</v>
      </c>
      <c r="I34" s="679" t="s">
        <v>1189</v>
      </c>
      <c r="J34" s="120"/>
    </row>
    <row r="35" spans="1:10" ht="15" customHeight="1">
      <c r="A35" s="122"/>
      <c r="B35" s="695"/>
      <c r="C35" s="696"/>
      <c r="D35" s="673" t="s">
        <v>1190</v>
      </c>
      <c r="E35" s="675" t="s">
        <v>1111</v>
      </c>
      <c r="F35" s="675" t="s">
        <v>1111</v>
      </c>
      <c r="G35" s="675" t="s">
        <v>1111</v>
      </c>
      <c r="H35" s="669"/>
      <c r="I35" s="680"/>
      <c r="J35" s="120"/>
    </row>
    <row r="36" spans="1:10" ht="15" customHeight="1" thickBot="1">
      <c r="A36" s="122"/>
      <c r="B36" s="697"/>
      <c r="C36" s="698"/>
      <c r="D36" s="674"/>
      <c r="E36" s="708"/>
      <c r="F36" s="708"/>
      <c r="G36" s="708"/>
      <c r="H36" s="670"/>
      <c r="I36" s="681"/>
      <c r="J36" s="120"/>
    </row>
    <row r="37" spans="1:10" ht="13.5" customHeight="1" thickBot="1">
      <c r="A37" s="122"/>
      <c r="B37" s="124" t="s">
        <v>1176</v>
      </c>
      <c r="C37" s="125" t="s">
        <v>762</v>
      </c>
      <c r="D37" s="126" t="s">
        <v>192</v>
      </c>
      <c r="E37" s="126" t="s">
        <v>192</v>
      </c>
      <c r="F37" s="126" t="s">
        <v>192</v>
      </c>
      <c r="G37" s="126" t="s">
        <v>192</v>
      </c>
      <c r="H37" s="126"/>
      <c r="I37" s="127" t="s">
        <v>192</v>
      </c>
      <c r="J37" s="120"/>
    </row>
    <row r="38" spans="1:10" ht="13.5" customHeight="1">
      <c r="A38" s="122"/>
      <c r="B38" s="131" t="s">
        <v>1173</v>
      </c>
      <c r="C38" s="67" t="s">
        <v>1163</v>
      </c>
      <c r="D38" s="129">
        <v>0</v>
      </c>
      <c r="E38" s="129">
        <v>0</v>
      </c>
      <c r="F38" s="129">
        <v>0</v>
      </c>
      <c r="G38" s="129"/>
      <c r="H38" s="129"/>
      <c r="I38" s="130"/>
      <c r="J38" s="120"/>
    </row>
    <row r="39" spans="1:10" ht="13.5" customHeight="1">
      <c r="A39" s="122"/>
      <c r="B39" s="131" t="s">
        <v>1164</v>
      </c>
      <c r="C39" s="67" t="s">
        <v>1165</v>
      </c>
      <c r="D39" s="129">
        <v>0</v>
      </c>
      <c r="E39" s="129">
        <v>0</v>
      </c>
      <c r="F39" s="129">
        <v>0</v>
      </c>
      <c r="G39" s="129"/>
      <c r="H39" s="129"/>
      <c r="I39" s="130"/>
      <c r="J39" s="120"/>
    </row>
    <row r="40" spans="1:10" ht="13.5" customHeight="1">
      <c r="A40" s="122"/>
      <c r="B40" s="131" t="s">
        <v>1166</v>
      </c>
      <c r="C40" s="67" t="s">
        <v>1167</v>
      </c>
      <c r="D40" s="129">
        <v>0</v>
      </c>
      <c r="E40" s="129">
        <v>0</v>
      </c>
      <c r="F40" s="129">
        <v>0</v>
      </c>
      <c r="G40" s="129"/>
      <c r="H40" s="129"/>
      <c r="I40" s="130"/>
      <c r="J40" s="120"/>
    </row>
    <row r="41" spans="1:10" ht="13.5" customHeight="1" thickBot="1">
      <c r="A41" s="122"/>
      <c r="B41" s="131" t="s">
        <v>1168</v>
      </c>
      <c r="C41" s="67" t="s">
        <v>1242</v>
      </c>
      <c r="D41" s="129">
        <v>0</v>
      </c>
      <c r="E41" s="129">
        <v>0</v>
      </c>
      <c r="F41" s="129">
        <v>0</v>
      </c>
      <c r="G41" s="129"/>
      <c r="H41" s="129"/>
      <c r="I41" s="130"/>
      <c r="J41" s="120"/>
    </row>
    <row r="42" spans="1:10" ht="13.5" customHeight="1" thickBot="1">
      <c r="A42" s="122"/>
      <c r="B42" s="134"/>
      <c r="C42" s="135" t="s">
        <v>1102</v>
      </c>
      <c r="D42" s="136">
        <f aca="true" t="shared" si="3" ref="D42:I42">SUM(D38:D41)</f>
        <v>0</v>
      </c>
      <c r="E42" s="136">
        <f t="shared" si="3"/>
        <v>0</v>
      </c>
      <c r="F42" s="136">
        <f t="shared" si="3"/>
        <v>0</v>
      </c>
      <c r="G42" s="136">
        <f t="shared" si="3"/>
        <v>0</v>
      </c>
      <c r="H42" s="136">
        <f t="shared" si="3"/>
        <v>0</v>
      </c>
      <c r="I42" s="193">
        <f t="shared" si="3"/>
        <v>0</v>
      </c>
      <c r="J42" s="120"/>
    </row>
    <row r="43" spans="2:10" ht="13.5" customHeight="1" thickBot="1">
      <c r="B43" s="124" t="s">
        <v>1176</v>
      </c>
      <c r="C43" s="125" t="s">
        <v>763</v>
      </c>
      <c r="D43" s="126" t="s">
        <v>192</v>
      </c>
      <c r="E43" s="126" t="s">
        <v>192</v>
      </c>
      <c r="F43" s="126" t="s">
        <v>192</v>
      </c>
      <c r="G43" s="126" t="s">
        <v>192</v>
      </c>
      <c r="H43" s="126" t="s">
        <v>192</v>
      </c>
      <c r="I43" s="127" t="s">
        <v>192</v>
      </c>
      <c r="J43" s="143"/>
    </row>
    <row r="44" spans="1:10" ht="13.5" customHeight="1">
      <c r="A44" s="122"/>
      <c r="B44" s="131" t="s">
        <v>1173</v>
      </c>
      <c r="C44" s="67" t="s">
        <v>1163</v>
      </c>
      <c r="D44" s="129">
        <v>0</v>
      </c>
      <c r="E44" s="129">
        <v>0</v>
      </c>
      <c r="F44" s="129">
        <v>0</v>
      </c>
      <c r="G44" s="129"/>
      <c r="H44" s="129"/>
      <c r="I44" s="130"/>
      <c r="J44" s="120"/>
    </row>
    <row r="45" spans="2:10" ht="13.5" customHeight="1">
      <c r="B45" s="131" t="s">
        <v>1164</v>
      </c>
      <c r="C45" s="67" t="s">
        <v>1165</v>
      </c>
      <c r="D45" s="129">
        <v>0</v>
      </c>
      <c r="E45" s="129">
        <v>0</v>
      </c>
      <c r="F45" s="129">
        <v>0</v>
      </c>
      <c r="G45" s="129"/>
      <c r="H45" s="129"/>
      <c r="I45" s="130"/>
      <c r="J45" s="143"/>
    </row>
    <row r="46" spans="2:10" ht="13.5" customHeight="1">
      <c r="B46" s="131" t="s">
        <v>1166</v>
      </c>
      <c r="C46" s="67" t="s">
        <v>1167</v>
      </c>
      <c r="D46" s="129">
        <v>0</v>
      </c>
      <c r="E46" s="129">
        <v>0</v>
      </c>
      <c r="F46" s="129">
        <v>0</v>
      </c>
      <c r="G46" s="129"/>
      <c r="H46" s="129"/>
      <c r="I46" s="130"/>
      <c r="J46" s="143"/>
    </row>
    <row r="47" spans="2:10" ht="13.5" customHeight="1">
      <c r="B47" s="131" t="s">
        <v>1174</v>
      </c>
      <c r="C47" s="67" t="s">
        <v>1175</v>
      </c>
      <c r="D47" s="129">
        <v>0</v>
      </c>
      <c r="E47" s="129">
        <v>0</v>
      </c>
      <c r="F47" s="129">
        <v>0</v>
      </c>
      <c r="G47" s="129"/>
      <c r="H47" s="129"/>
      <c r="I47" s="130"/>
      <c r="J47" s="143"/>
    </row>
    <row r="48" spans="2:10" ht="13.5" customHeight="1">
      <c r="B48" s="131" t="s">
        <v>1177</v>
      </c>
      <c r="C48" s="67" t="s">
        <v>1178</v>
      </c>
      <c r="D48" s="129">
        <v>0</v>
      </c>
      <c r="E48" s="129">
        <v>0</v>
      </c>
      <c r="F48" s="129">
        <v>0</v>
      </c>
      <c r="G48" s="129"/>
      <c r="H48" s="129"/>
      <c r="I48" s="130"/>
      <c r="J48" s="143"/>
    </row>
    <row r="49" spans="2:10" ht="13.5" customHeight="1">
      <c r="B49" s="131" t="s">
        <v>1180</v>
      </c>
      <c r="C49" s="67" t="s">
        <v>1179</v>
      </c>
      <c r="D49" s="129">
        <v>0</v>
      </c>
      <c r="E49" s="129">
        <v>0</v>
      </c>
      <c r="F49" s="129">
        <v>0</v>
      </c>
      <c r="G49" s="129"/>
      <c r="H49" s="129"/>
      <c r="I49" s="130"/>
      <c r="J49" s="143"/>
    </row>
    <row r="50" spans="2:10" ht="13.5" customHeight="1">
      <c r="B50" s="131" t="s">
        <v>486</v>
      </c>
      <c r="C50" s="67" t="s">
        <v>1181</v>
      </c>
      <c r="D50" s="129">
        <v>0</v>
      </c>
      <c r="E50" s="129">
        <v>0</v>
      </c>
      <c r="F50" s="129">
        <v>0</v>
      </c>
      <c r="G50" s="129"/>
      <c r="H50" s="129"/>
      <c r="I50" s="130"/>
      <c r="J50" s="143"/>
    </row>
    <row r="51" spans="2:10" ht="13.5" customHeight="1">
      <c r="B51" s="131" t="s">
        <v>486</v>
      </c>
      <c r="C51" s="67" t="s">
        <v>25</v>
      </c>
      <c r="D51" s="129">
        <v>0</v>
      </c>
      <c r="E51" s="129">
        <v>0</v>
      </c>
      <c r="F51" s="129">
        <v>0</v>
      </c>
      <c r="G51" s="129"/>
      <c r="H51" s="129"/>
      <c r="I51" s="130"/>
      <c r="J51" s="143"/>
    </row>
    <row r="52" spans="2:10" ht="13.5" customHeight="1" thickBot="1">
      <c r="B52" s="132"/>
      <c r="C52" s="133"/>
      <c r="D52" s="129"/>
      <c r="E52" s="129"/>
      <c r="F52" s="129"/>
      <c r="G52" s="129"/>
      <c r="H52" s="129"/>
      <c r="I52" s="130"/>
      <c r="J52" s="143"/>
    </row>
    <row r="53" spans="1:10" ht="13.5" customHeight="1" thickBot="1">
      <c r="A53" s="122"/>
      <c r="B53" s="137"/>
      <c r="C53" s="125" t="s">
        <v>1102</v>
      </c>
      <c r="D53" s="138">
        <f aca="true" t="shared" si="4" ref="D53:I53">SUM(D44:D52)</f>
        <v>0</v>
      </c>
      <c r="E53" s="138">
        <f t="shared" si="4"/>
        <v>0</v>
      </c>
      <c r="F53" s="138">
        <f t="shared" si="4"/>
        <v>0</v>
      </c>
      <c r="G53" s="138">
        <f t="shared" si="4"/>
        <v>0</v>
      </c>
      <c r="H53" s="138">
        <f t="shared" si="4"/>
        <v>0</v>
      </c>
      <c r="I53" s="139">
        <f t="shared" si="4"/>
        <v>0</v>
      </c>
      <c r="J53" s="120"/>
    </row>
    <row r="54" spans="1:10" ht="13.5" customHeight="1" thickBot="1">
      <c r="A54" s="140"/>
      <c r="B54" s="658" t="s">
        <v>764</v>
      </c>
      <c r="C54" s="659"/>
      <c r="D54" s="141">
        <f aca="true" t="shared" si="5" ref="D54:I54">D42+D53</f>
        <v>0</v>
      </c>
      <c r="E54" s="141">
        <f t="shared" si="5"/>
        <v>0</v>
      </c>
      <c r="F54" s="141">
        <f t="shared" si="5"/>
        <v>0</v>
      </c>
      <c r="G54" s="141">
        <f t="shared" si="5"/>
        <v>0</v>
      </c>
      <c r="H54" s="141">
        <f t="shared" si="5"/>
        <v>0</v>
      </c>
      <c r="I54" s="194">
        <f t="shared" si="5"/>
        <v>0</v>
      </c>
      <c r="J54" s="120"/>
    </row>
    <row r="55" spans="1:10" ht="13.5" customHeight="1">
      <c r="A55" s="140"/>
      <c r="B55" s="52"/>
      <c r="C55" s="52"/>
      <c r="D55" s="153"/>
      <c r="E55" s="153"/>
      <c r="F55" s="153"/>
      <c r="G55" s="153"/>
      <c r="H55" s="153"/>
      <c r="I55" s="153"/>
      <c r="J55" s="120"/>
    </row>
    <row r="56" spans="1:10" ht="13.5" customHeight="1">
      <c r="A56" s="140"/>
      <c r="B56" s="52"/>
      <c r="C56" s="52"/>
      <c r="D56" s="153"/>
      <c r="E56" s="153"/>
      <c r="F56" s="153"/>
      <c r="G56" s="153"/>
      <c r="H56" s="153"/>
      <c r="I56" s="153"/>
      <c r="J56" s="120"/>
    </row>
    <row r="57" spans="1:10" ht="13.5" customHeight="1">
      <c r="A57" s="140"/>
      <c r="B57" s="52"/>
      <c r="C57" s="52"/>
      <c r="D57" s="153"/>
      <c r="E57" s="153"/>
      <c r="F57" s="153"/>
      <c r="G57" s="153"/>
      <c r="H57" s="153"/>
      <c r="I57" s="153"/>
      <c r="J57" s="120"/>
    </row>
    <row r="58" spans="1:10" ht="13.5" customHeight="1">
      <c r="A58" s="140"/>
      <c r="B58" s="52"/>
      <c r="C58" s="52"/>
      <c r="D58" s="153"/>
      <c r="E58" s="153"/>
      <c r="F58" s="153"/>
      <c r="G58" s="153"/>
      <c r="H58" s="153"/>
      <c r="I58" s="153"/>
      <c r="J58" s="120"/>
    </row>
  </sheetData>
  <sheetProtection password="DEF0" sheet="1" objects="1" scenarios="1"/>
  <mergeCells count="24">
    <mergeCell ref="B54:C54"/>
    <mergeCell ref="B33:I33"/>
    <mergeCell ref="B34:C36"/>
    <mergeCell ref="H34:H36"/>
    <mergeCell ref="I34:I36"/>
    <mergeCell ref="G35:G36"/>
    <mergeCell ref="B6:C8"/>
    <mergeCell ref="D35:D36"/>
    <mergeCell ref="E35:E36"/>
    <mergeCell ref="F35:F36"/>
    <mergeCell ref="B30:C30"/>
    <mergeCell ref="D7:D8"/>
    <mergeCell ref="E7:E8"/>
    <mergeCell ref="F7:F8"/>
    <mergeCell ref="B2:C3"/>
    <mergeCell ref="I6:I8"/>
    <mergeCell ref="H2:H3"/>
    <mergeCell ref="G2:G3"/>
    <mergeCell ref="G7:G8"/>
    <mergeCell ref="D2:E3"/>
    <mergeCell ref="F2:F3"/>
    <mergeCell ref="I2:I3"/>
    <mergeCell ref="B5:I5"/>
    <mergeCell ref="H6:H8"/>
  </mergeCells>
  <printOptions/>
  <pageMargins left="0.7086614173228347" right="0.1968503937007874" top="0.5511811023622047" bottom="0.3937007874015748" header="0.3937007874015748" footer="0.1968503937007874"/>
  <pageSetup horizontalDpi="300" verticalDpi="300" orientation="landscape" paperSize="9" scale="66" r:id="rId3"/>
  <headerFooter alignWithMargins="0">
    <oddHeader>&amp;R
</oddHeader>
  </headerFooter>
  <legacyDrawing r:id="rId2"/>
</worksheet>
</file>

<file path=xl/worksheets/sheet3.xml><?xml version="1.0" encoding="utf-8"?>
<worksheet xmlns="http://schemas.openxmlformats.org/spreadsheetml/2006/main" xmlns:r="http://schemas.openxmlformats.org/officeDocument/2006/relationships">
  <sheetPr codeName="Plan13"/>
  <dimension ref="A1:M234"/>
  <sheetViews>
    <sheetView showGridLines="0" showRowColHeaders="0" zoomScalePageLayoutView="0" workbookViewId="0" topLeftCell="A1">
      <selection activeCell="A1" sqref="A1"/>
    </sheetView>
  </sheetViews>
  <sheetFormatPr defaultColWidth="0" defaultRowHeight="12.75"/>
  <cols>
    <col min="1" max="1" width="3.7109375" style="6" customWidth="1"/>
    <col min="2" max="2" width="13.7109375" style="6" customWidth="1"/>
    <col min="3" max="9" width="9.7109375" style="6" customWidth="1"/>
    <col min="10" max="10" width="5.7109375" style="6" customWidth="1"/>
    <col min="11" max="11" width="3.7109375" style="6" customWidth="1"/>
    <col min="12" max="16384" width="0" style="6" hidden="1" customWidth="1"/>
  </cols>
  <sheetData>
    <row r="1" spans="1:11" ht="15.75">
      <c r="A1" s="4"/>
      <c r="B1" s="4"/>
      <c r="C1" s="4"/>
      <c r="D1" s="4"/>
      <c r="E1" s="4"/>
      <c r="F1" s="4"/>
      <c r="G1" s="4"/>
      <c r="H1" s="4"/>
      <c r="I1" s="4"/>
      <c r="J1" s="4"/>
      <c r="K1" s="4"/>
    </row>
    <row r="2" spans="1:11" ht="15.75">
      <c r="A2" s="4"/>
      <c r="B2" s="4"/>
      <c r="C2" s="4"/>
      <c r="D2" s="4"/>
      <c r="E2" s="4"/>
      <c r="F2" s="4"/>
      <c r="G2" s="4"/>
      <c r="H2" s="4"/>
      <c r="I2" s="4"/>
      <c r="J2" s="4"/>
      <c r="K2" s="4"/>
    </row>
    <row r="3" spans="1:11" ht="15.75">
      <c r="A3" s="4"/>
      <c r="B3" s="4"/>
      <c r="C3" s="4"/>
      <c r="D3" s="4"/>
      <c r="E3" s="4"/>
      <c r="F3" s="4"/>
      <c r="G3" s="4"/>
      <c r="H3" s="4"/>
      <c r="I3" s="4"/>
      <c r="J3" s="4"/>
      <c r="K3" s="4"/>
    </row>
    <row r="4" spans="1:13" ht="15.75">
      <c r="A4" s="4"/>
      <c r="B4" s="552" t="s">
        <v>1158</v>
      </c>
      <c r="C4" s="552"/>
      <c r="D4" s="552"/>
      <c r="E4" s="552"/>
      <c r="F4" s="552"/>
      <c r="G4" s="552"/>
      <c r="H4" s="552"/>
      <c r="I4" s="552"/>
      <c r="J4" s="552"/>
      <c r="K4" s="33"/>
      <c r="L4" s="502"/>
      <c r="M4" s="502"/>
    </row>
    <row r="5" spans="1:13" ht="9.75" customHeight="1">
      <c r="A5" s="4"/>
      <c r="B5" s="28"/>
      <c r="C5" s="28"/>
      <c r="D5" s="28"/>
      <c r="E5" s="28"/>
      <c r="F5" s="28"/>
      <c r="G5" s="28"/>
      <c r="H5" s="28"/>
      <c r="I5" s="28"/>
      <c r="J5" s="28"/>
      <c r="K5" s="33"/>
      <c r="L5" s="502"/>
      <c r="M5" s="502"/>
    </row>
    <row r="6" spans="1:13" ht="15.75">
      <c r="A6" s="4"/>
      <c r="B6" s="28"/>
      <c r="C6" s="28"/>
      <c r="D6" s="28"/>
      <c r="E6" s="28"/>
      <c r="F6" s="28"/>
      <c r="G6" s="28"/>
      <c r="H6" s="28"/>
      <c r="I6" s="28"/>
      <c r="J6" s="28"/>
      <c r="K6" s="33"/>
      <c r="L6" s="502"/>
      <c r="M6" s="502"/>
    </row>
    <row r="7" spans="1:11" ht="12.75" customHeight="1">
      <c r="A7" s="4"/>
      <c r="B7" s="570" t="s">
        <v>114</v>
      </c>
      <c r="C7" s="570"/>
      <c r="D7" s="570"/>
      <c r="E7" s="570"/>
      <c r="F7" s="570"/>
      <c r="G7" s="570"/>
      <c r="H7" s="570"/>
      <c r="I7" s="570"/>
      <c r="J7" s="570"/>
      <c r="K7" s="4"/>
    </row>
    <row r="8" spans="1:11" ht="12.75" customHeight="1">
      <c r="A8" s="4"/>
      <c r="B8" s="570"/>
      <c r="C8" s="570"/>
      <c r="D8" s="570"/>
      <c r="E8" s="570"/>
      <c r="F8" s="570"/>
      <c r="G8" s="570"/>
      <c r="H8" s="570"/>
      <c r="I8" s="570"/>
      <c r="J8" s="570"/>
      <c r="K8" s="4"/>
    </row>
    <row r="9" spans="1:11" ht="12.75" customHeight="1">
      <c r="A9" s="4"/>
      <c r="B9" s="570"/>
      <c r="C9" s="570"/>
      <c r="D9" s="570"/>
      <c r="E9" s="570"/>
      <c r="F9" s="570"/>
      <c r="G9" s="570"/>
      <c r="H9" s="570"/>
      <c r="I9" s="570"/>
      <c r="J9" s="570"/>
      <c r="K9" s="4"/>
    </row>
    <row r="10" spans="1:11" ht="12.75" customHeight="1">
      <c r="A10" s="4"/>
      <c r="B10" s="559"/>
      <c r="C10" s="559"/>
      <c r="D10" s="559"/>
      <c r="E10" s="559"/>
      <c r="F10" s="559"/>
      <c r="G10" s="559"/>
      <c r="H10" s="559"/>
      <c r="I10" s="559"/>
      <c r="J10" s="559"/>
      <c r="K10" s="4"/>
    </row>
    <row r="11" spans="1:11" ht="19.5" customHeight="1">
      <c r="A11" s="4"/>
      <c r="B11" s="32"/>
      <c r="C11" s="32"/>
      <c r="D11" s="32"/>
      <c r="E11" s="32"/>
      <c r="F11" s="32"/>
      <c r="G11" s="32"/>
      <c r="H11" s="32"/>
      <c r="I11" s="32"/>
      <c r="J11" s="32"/>
      <c r="K11" s="4"/>
    </row>
    <row r="12" spans="1:11" ht="16.5">
      <c r="A12" s="4"/>
      <c r="B12" s="35" t="s">
        <v>110</v>
      </c>
      <c r="C12" s="36"/>
      <c r="D12" s="37"/>
      <c r="E12" s="37"/>
      <c r="F12" s="37"/>
      <c r="G12" s="37"/>
      <c r="H12" s="37"/>
      <c r="I12" s="37"/>
      <c r="J12" s="37"/>
      <c r="K12" s="4"/>
    </row>
    <row r="13" spans="1:11" ht="16.5">
      <c r="A13" s="4"/>
      <c r="B13" s="37"/>
      <c r="C13" s="37"/>
      <c r="D13" s="37"/>
      <c r="E13" s="37"/>
      <c r="F13" s="37"/>
      <c r="G13" s="37"/>
      <c r="H13" s="37"/>
      <c r="I13" s="37"/>
      <c r="J13" s="37"/>
      <c r="K13" s="4"/>
    </row>
    <row r="14" spans="1:11" ht="16.5">
      <c r="A14" s="4"/>
      <c r="B14" s="38" t="s">
        <v>148</v>
      </c>
      <c r="C14" s="39" t="s">
        <v>154</v>
      </c>
      <c r="D14" s="37"/>
      <c r="E14" s="37"/>
      <c r="F14" s="37"/>
      <c r="G14" s="37"/>
      <c r="H14" s="37"/>
      <c r="I14" s="37"/>
      <c r="J14" s="37"/>
      <c r="K14" s="4"/>
    </row>
    <row r="15" spans="1:11" ht="16.5">
      <c r="A15" s="4"/>
      <c r="B15" s="507" t="s">
        <v>149</v>
      </c>
      <c r="C15" s="508" t="s">
        <v>661</v>
      </c>
      <c r="D15" s="509"/>
      <c r="E15" s="509"/>
      <c r="F15" s="509"/>
      <c r="G15" s="509"/>
      <c r="H15" s="509"/>
      <c r="I15" s="509"/>
      <c r="J15" s="509"/>
      <c r="K15" s="4"/>
    </row>
    <row r="16" spans="1:11" ht="16.5">
      <c r="A16" s="4"/>
      <c r="B16" s="513" t="s">
        <v>150</v>
      </c>
      <c r="C16" s="514" t="s">
        <v>662</v>
      </c>
      <c r="D16" s="515"/>
      <c r="E16" s="515"/>
      <c r="F16" s="515"/>
      <c r="G16" s="515"/>
      <c r="H16" s="515"/>
      <c r="I16" s="515"/>
      <c r="J16" s="515"/>
      <c r="K16" s="4"/>
    </row>
    <row r="17" spans="1:11" ht="16.5">
      <c r="A17" s="4"/>
      <c r="B17" s="510" t="s">
        <v>151</v>
      </c>
      <c r="C17" s="511" t="s">
        <v>663</v>
      </c>
      <c r="D17" s="512"/>
      <c r="E17" s="512"/>
      <c r="F17" s="512"/>
      <c r="G17" s="512"/>
      <c r="H17" s="512"/>
      <c r="I17" s="512"/>
      <c r="J17" s="37"/>
      <c r="K17" s="4"/>
    </row>
    <row r="18" spans="1:11" ht="16.5">
      <c r="A18" s="4"/>
      <c r="B18" s="38" t="s">
        <v>152</v>
      </c>
      <c r="C18" s="39" t="s">
        <v>163</v>
      </c>
      <c r="D18" s="37"/>
      <c r="E18" s="37"/>
      <c r="F18" s="37"/>
      <c r="G18" s="37"/>
      <c r="H18" s="37"/>
      <c r="I18" s="37"/>
      <c r="J18" s="37"/>
      <c r="K18" s="4"/>
    </row>
    <row r="19" spans="1:11" ht="16.5">
      <c r="A19" s="4"/>
      <c r="B19" s="38" t="s">
        <v>153</v>
      </c>
      <c r="C19" s="39" t="s">
        <v>164</v>
      </c>
      <c r="D19" s="37"/>
      <c r="E19" s="37"/>
      <c r="F19" s="37"/>
      <c r="G19" s="37"/>
      <c r="H19" s="37"/>
      <c r="I19" s="37"/>
      <c r="J19" s="37"/>
      <c r="K19" s="4"/>
    </row>
    <row r="20" spans="1:11" ht="16.5">
      <c r="A20" s="4"/>
      <c r="B20" s="37"/>
      <c r="C20" s="37"/>
      <c r="D20" s="37"/>
      <c r="E20" s="37"/>
      <c r="F20" s="37"/>
      <c r="G20" s="37"/>
      <c r="H20" s="37"/>
      <c r="I20" s="37"/>
      <c r="J20" s="37"/>
      <c r="K20" s="4"/>
    </row>
    <row r="21" spans="1:11" ht="16.5">
      <c r="A21" s="4"/>
      <c r="B21" s="37"/>
      <c r="C21" s="37"/>
      <c r="D21" s="37"/>
      <c r="E21" s="37"/>
      <c r="F21" s="37"/>
      <c r="G21" s="37"/>
      <c r="H21" s="37"/>
      <c r="I21" s="37"/>
      <c r="J21" s="37"/>
      <c r="K21" s="4"/>
    </row>
    <row r="22" spans="1:11" ht="16.5">
      <c r="A22" s="4"/>
      <c r="B22" s="39" t="s">
        <v>111</v>
      </c>
      <c r="C22" s="37"/>
      <c r="D22" s="37"/>
      <c r="E22" s="37"/>
      <c r="F22" s="37"/>
      <c r="G22" s="37"/>
      <c r="H22" s="37"/>
      <c r="I22" s="37"/>
      <c r="J22" s="37"/>
      <c r="K22" s="4"/>
    </row>
    <row r="23" spans="1:11" ht="15.75">
      <c r="A23" s="4"/>
      <c r="B23" s="570" t="s">
        <v>147</v>
      </c>
      <c r="C23" s="570"/>
      <c r="D23" s="570"/>
      <c r="E23" s="570"/>
      <c r="F23" s="570"/>
      <c r="G23" s="570"/>
      <c r="H23" s="570"/>
      <c r="I23" s="570"/>
      <c r="J23" s="570"/>
      <c r="K23" s="4"/>
    </row>
    <row r="24" spans="1:11" ht="15.75">
      <c r="A24" s="4"/>
      <c r="B24" s="570"/>
      <c r="C24" s="570"/>
      <c r="D24" s="570"/>
      <c r="E24" s="570"/>
      <c r="F24" s="570"/>
      <c r="G24" s="570"/>
      <c r="H24" s="570"/>
      <c r="I24" s="570"/>
      <c r="J24" s="570"/>
      <c r="K24" s="4"/>
    </row>
    <row r="25" spans="1:11" ht="15.75">
      <c r="A25" s="4"/>
      <c r="B25" s="570"/>
      <c r="C25" s="570"/>
      <c r="D25" s="570"/>
      <c r="E25" s="570"/>
      <c r="F25" s="570"/>
      <c r="G25" s="570"/>
      <c r="H25" s="570"/>
      <c r="I25" s="570"/>
      <c r="J25" s="570"/>
      <c r="K25" s="4"/>
    </row>
    <row r="26" spans="1:11" ht="15.75">
      <c r="A26" s="4"/>
      <c r="B26" s="570"/>
      <c r="C26" s="570"/>
      <c r="D26" s="570"/>
      <c r="E26" s="570"/>
      <c r="F26" s="570"/>
      <c r="G26" s="570"/>
      <c r="H26" s="570"/>
      <c r="I26" s="570"/>
      <c r="J26" s="570"/>
      <c r="K26" s="4"/>
    </row>
    <row r="27" spans="1:11" ht="15.75">
      <c r="A27" s="4"/>
      <c r="B27" s="593"/>
      <c r="C27" s="593"/>
      <c r="D27" s="593"/>
      <c r="E27" s="593"/>
      <c r="F27" s="593"/>
      <c r="G27" s="593"/>
      <c r="H27" s="593"/>
      <c r="I27" s="593"/>
      <c r="J27" s="593"/>
      <c r="K27" s="4"/>
    </row>
    <row r="28" spans="1:11" ht="16.5">
      <c r="A28" s="4"/>
      <c r="B28" s="40"/>
      <c r="C28" s="40"/>
      <c r="D28" s="40"/>
      <c r="E28" s="40"/>
      <c r="F28" s="40"/>
      <c r="G28" s="40"/>
      <c r="H28" s="40"/>
      <c r="I28" s="40"/>
      <c r="J28" s="40"/>
      <c r="K28" s="4"/>
    </row>
    <row r="29" spans="1:11" ht="16.5">
      <c r="A29" s="4"/>
      <c r="B29" s="37"/>
      <c r="C29" s="37"/>
      <c r="D29" s="37"/>
      <c r="E29" s="37"/>
      <c r="F29" s="37"/>
      <c r="G29" s="37"/>
      <c r="H29" s="37"/>
      <c r="I29" s="37"/>
      <c r="J29" s="37"/>
      <c r="K29" s="4"/>
    </row>
    <row r="30" spans="1:11" ht="16.5">
      <c r="A30" s="4"/>
      <c r="B30" s="508" t="s">
        <v>671</v>
      </c>
      <c r="C30" s="37"/>
      <c r="D30" s="37"/>
      <c r="E30" s="37"/>
      <c r="F30" s="37"/>
      <c r="G30" s="37"/>
      <c r="H30" s="37"/>
      <c r="I30" s="37"/>
      <c r="J30" s="37"/>
      <c r="K30" s="4"/>
    </row>
    <row r="31" spans="1:11" ht="16.5">
      <c r="A31" s="4"/>
      <c r="B31" s="37"/>
      <c r="C31" s="37"/>
      <c r="D31" s="37"/>
      <c r="E31" s="37"/>
      <c r="F31" s="37"/>
      <c r="G31" s="37"/>
      <c r="H31" s="37"/>
      <c r="I31" s="37"/>
      <c r="J31" s="37"/>
      <c r="K31" s="4"/>
    </row>
    <row r="32" spans="1:11" ht="15.75">
      <c r="A32" s="4"/>
      <c r="B32" s="570" t="s">
        <v>50</v>
      </c>
      <c r="C32" s="570"/>
      <c r="D32" s="570"/>
      <c r="E32" s="570"/>
      <c r="F32" s="570"/>
      <c r="G32" s="570"/>
      <c r="H32" s="570"/>
      <c r="I32" s="570"/>
      <c r="J32" s="570"/>
      <c r="K32" s="4"/>
    </row>
    <row r="33" spans="1:11" ht="15.75">
      <c r="A33" s="4"/>
      <c r="B33" s="570"/>
      <c r="C33" s="570"/>
      <c r="D33" s="570"/>
      <c r="E33" s="570"/>
      <c r="F33" s="570"/>
      <c r="G33" s="570"/>
      <c r="H33" s="570"/>
      <c r="I33" s="570"/>
      <c r="J33" s="570"/>
      <c r="K33" s="4"/>
    </row>
    <row r="34" spans="1:11" ht="16.5">
      <c r="A34" s="4"/>
      <c r="B34" s="37"/>
      <c r="C34" s="37"/>
      <c r="D34" s="37"/>
      <c r="E34" s="37"/>
      <c r="F34" s="37"/>
      <c r="G34" s="37"/>
      <c r="H34" s="37"/>
      <c r="I34" s="37"/>
      <c r="J34" s="37"/>
      <c r="K34" s="4"/>
    </row>
    <row r="35" spans="1:11" ht="16.5">
      <c r="A35" s="4"/>
      <c r="B35" s="38" t="s">
        <v>180</v>
      </c>
      <c r="C35" s="39" t="s">
        <v>185</v>
      </c>
      <c r="D35" s="39"/>
      <c r="E35" s="39"/>
      <c r="F35" s="39"/>
      <c r="G35" s="39"/>
      <c r="H35" s="39"/>
      <c r="I35" s="39"/>
      <c r="J35" s="39"/>
      <c r="K35" s="4"/>
    </row>
    <row r="36" spans="1:11" ht="16.5">
      <c r="A36" s="4"/>
      <c r="B36" s="38" t="s">
        <v>181</v>
      </c>
      <c r="C36" s="39" t="s">
        <v>186</v>
      </c>
      <c r="D36" s="39"/>
      <c r="E36" s="39"/>
      <c r="F36" s="39"/>
      <c r="G36" s="39"/>
      <c r="H36" s="39"/>
      <c r="I36" s="39"/>
      <c r="J36" s="39"/>
      <c r="K36" s="4"/>
    </row>
    <row r="37" spans="1:11" ht="16.5">
      <c r="A37" s="4"/>
      <c r="B37" s="38" t="s">
        <v>182</v>
      </c>
      <c r="C37" s="39" t="s">
        <v>187</v>
      </c>
      <c r="D37" s="39"/>
      <c r="E37" s="39"/>
      <c r="F37" s="39"/>
      <c r="G37" s="39"/>
      <c r="H37" s="39"/>
      <c r="I37" s="39"/>
      <c r="J37" s="39"/>
      <c r="K37" s="4"/>
    </row>
    <row r="38" spans="1:11" ht="16.5">
      <c r="A38" s="4"/>
      <c r="B38" s="38" t="s">
        <v>183</v>
      </c>
      <c r="C38" s="39" t="s">
        <v>188</v>
      </c>
      <c r="D38" s="39"/>
      <c r="E38" s="39"/>
      <c r="F38" s="39"/>
      <c r="G38" s="39"/>
      <c r="H38" s="39"/>
      <c r="I38" s="39"/>
      <c r="J38" s="39"/>
      <c r="K38" s="4"/>
    </row>
    <row r="39" spans="1:11" ht="16.5">
      <c r="A39" s="4"/>
      <c r="B39" s="38" t="s">
        <v>184</v>
      </c>
      <c r="C39" s="553" t="s">
        <v>664</v>
      </c>
      <c r="D39" s="553"/>
      <c r="E39" s="553"/>
      <c r="F39" s="553"/>
      <c r="G39" s="553"/>
      <c r="H39" s="553"/>
      <c r="I39" s="553"/>
      <c r="J39" s="553"/>
      <c r="K39" s="4"/>
    </row>
    <row r="40" spans="1:11" ht="16.5">
      <c r="A40" s="4"/>
      <c r="B40" s="38"/>
      <c r="C40" s="559"/>
      <c r="D40" s="559"/>
      <c r="E40" s="559"/>
      <c r="F40" s="559"/>
      <c r="G40" s="559"/>
      <c r="H40" s="559"/>
      <c r="I40" s="559"/>
      <c r="J40" s="559"/>
      <c r="K40" s="4"/>
    </row>
    <row r="41" spans="1:11" ht="17.25" thickBot="1">
      <c r="A41" s="4"/>
      <c r="B41" s="32"/>
      <c r="C41" s="32"/>
      <c r="D41" s="32"/>
      <c r="E41" s="32"/>
      <c r="F41" s="32"/>
      <c r="G41" s="32"/>
      <c r="H41" s="32"/>
      <c r="I41" s="32"/>
      <c r="J41" s="32"/>
      <c r="K41" s="4"/>
    </row>
    <row r="42" spans="1:11" ht="19.5" customHeight="1">
      <c r="A42" s="4"/>
      <c r="B42" s="579" t="s">
        <v>665</v>
      </c>
      <c r="C42" s="566"/>
      <c r="D42" s="566"/>
      <c r="E42" s="566"/>
      <c r="F42" s="566"/>
      <c r="G42" s="566"/>
      <c r="H42" s="566"/>
      <c r="I42" s="566"/>
      <c r="J42" s="567"/>
      <c r="K42" s="4"/>
    </row>
    <row r="43" spans="1:11" ht="15.75">
      <c r="A43" s="4"/>
      <c r="B43" s="568"/>
      <c r="C43" s="569"/>
      <c r="D43" s="569"/>
      <c r="E43" s="569"/>
      <c r="F43" s="569"/>
      <c r="G43" s="569"/>
      <c r="H43" s="569"/>
      <c r="I43" s="569"/>
      <c r="J43" s="565"/>
      <c r="K43" s="4"/>
    </row>
    <row r="44" spans="1:11" ht="15.75">
      <c r="A44" s="4"/>
      <c r="B44" s="560"/>
      <c r="C44" s="561"/>
      <c r="D44" s="561"/>
      <c r="E44" s="561"/>
      <c r="F44" s="561"/>
      <c r="G44" s="561"/>
      <c r="H44" s="561"/>
      <c r="I44" s="561"/>
      <c r="J44" s="562"/>
      <c r="K44" s="4"/>
    </row>
    <row r="45" spans="1:11" ht="19.5" customHeight="1" thickBot="1">
      <c r="A45" s="4"/>
      <c r="B45" s="563"/>
      <c r="C45" s="564"/>
      <c r="D45" s="564"/>
      <c r="E45" s="564"/>
      <c r="F45" s="564"/>
      <c r="G45" s="564"/>
      <c r="H45" s="564"/>
      <c r="I45" s="564"/>
      <c r="J45" s="557"/>
      <c r="K45" s="4"/>
    </row>
    <row r="46" spans="1:11" ht="16.5">
      <c r="A46" s="4"/>
      <c r="B46" s="41"/>
      <c r="C46" s="41"/>
      <c r="D46" s="41"/>
      <c r="E46" s="41"/>
      <c r="F46" s="41"/>
      <c r="G46" s="41"/>
      <c r="H46" s="41"/>
      <c r="I46" s="41"/>
      <c r="J46" s="41"/>
      <c r="K46" s="4"/>
    </row>
    <row r="47" spans="1:11" ht="16.5">
      <c r="A47" s="4"/>
      <c r="B47" s="41"/>
      <c r="C47" s="41"/>
      <c r="D47" s="41"/>
      <c r="E47" s="41"/>
      <c r="F47" s="41"/>
      <c r="G47" s="41"/>
      <c r="H47" s="41"/>
      <c r="I47" s="41"/>
      <c r="J47" s="41"/>
      <c r="K47" s="4"/>
    </row>
    <row r="48" spans="1:11" ht="15.75">
      <c r="A48" s="4"/>
      <c r="B48" s="558" t="s">
        <v>189</v>
      </c>
      <c r="C48" s="559"/>
      <c r="D48" s="559"/>
      <c r="E48" s="559"/>
      <c r="F48" s="559"/>
      <c r="G48" s="559"/>
      <c r="H48" s="559"/>
      <c r="I48" s="559"/>
      <c r="J48" s="559"/>
      <c r="K48" s="4"/>
    </row>
    <row r="49" spans="1:11" ht="15.75">
      <c r="A49" s="4"/>
      <c r="B49" s="559"/>
      <c r="C49" s="559"/>
      <c r="D49" s="559"/>
      <c r="E49" s="559"/>
      <c r="F49" s="559"/>
      <c r="G49" s="559"/>
      <c r="H49" s="559"/>
      <c r="I49" s="559"/>
      <c r="J49" s="559"/>
      <c r="K49" s="4"/>
    </row>
    <row r="50" spans="1:11" ht="16.5">
      <c r="A50" s="4"/>
      <c r="B50" s="37"/>
      <c r="C50" s="37"/>
      <c r="D50" s="37"/>
      <c r="E50" s="37"/>
      <c r="F50" s="37"/>
      <c r="G50" s="37"/>
      <c r="H50" s="37"/>
      <c r="I50" s="37"/>
      <c r="J50" s="37"/>
      <c r="K50" s="4"/>
    </row>
    <row r="51" spans="1:11" ht="16.5">
      <c r="A51" s="4"/>
      <c r="B51" s="44" t="s">
        <v>667</v>
      </c>
      <c r="C51" s="39" t="s">
        <v>666</v>
      </c>
      <c r="D51" s="39"/>
      <c r="E51" s="39"/>
      <c r="F51" s="39"/>
      <c r="G51" s="39"/>
      <c r="H51" s="39"/>
      <c r="I51" s="39"/>
      <c r="J51" s="39"/>
      <c r="K51" s="4"/>
    </row>
    <row r="52" spans="1:11" ht="16.5">
      <c r="A52" s="4"/>
      <c r="B52" s="44" t="s">
        <v>668</v>
      </c>
      <c r="C52" s="39" t="s">
        <v>669</v>
      </c>
      <c r="D52" s="39"/>
      <c r="E52" s="39"/>
      <c r="F52" s="39"/>
      <c r="G52" s="39"/>
      <c r="H52" s="39"/>
      <c r="I52" s="39"/>
      <c r="J52" s="39"/>
      <c r="K52" s="4"/>
    </row>
    <row r="53" spans="1:11" ht="16.5">
      <c r="A53" s="4"/>
      <c r="B53" s="44" t="s">
        <v>672</v>
      </c>
      <c r="C53" s="39" t="s">
        <v>679</v>
      </c>
      <c r="D53" s="39"/>
      <c r="E53" s="39"/>
      <c r="F53" s="39"/>
      <c r="G53" s="39"/>
      <c r="H53" s="39"/>
      <c r="I53" s="39"/>
      <c r="J53" s="39"/>
      <c r="K53" s="4"/>
    </row>
    <row r="54" spans="1:11" ht="16.5">
      <c r="A54" s="4"/>
      <c r="B54" s="44" t="s">
        <v>673</v>
      </c>
      <c r="C54" s="39" t="s">
        <v>680</v>
      </c>
      <c r="D54" s="39"/>
      <c r="E54" s="39"/>
      <c r="F54" s="39"/>
      <c r="G54" s="39"/>
      <c r="H54" s="39"/>
      <c r="I54" s="39"/>
      <c r="J54" s="39"/>
      <c r="K54" s="4"/>
    </row>
    <row r="55" spans="1:11" ht="16.5">
      <c r="A55" s="4"/>
      <c r="B55" s="44" t="s">
        <v>674</v>
      </c>
      <c r="C55" s="39" t="s">
        <v>681</v>
      </c>
      <c r="D55" s="39"/>
      <c r="E55" s="39"/>
      <c r="F55" s="39"/>
      <c r="G55" s="39"/>
      <c r="H55" s="39"/>
      <c r="I55" s="39"/>
      <c r="J55" s="39"/>
      <c r="K55" s="4"/>
    </row>
    <row r="56" spans="1:11" ht="16.5">
      <c r="A56" s="4"/>
      <c r="B56" s="44" t="s">
        <v>675</v>
      </c>
      <c r="C56" s="39" t="s">
        <v>171</v>
      </c>
      <c r="D56" s="39"/>
      <c r="E56" s="39"/>
      <c r="F56" s="39"/>
      <c r="G56" s="39"/>
      <c r="H56" s="39"/>
      <c r="I56" s="39"/>
      <c r="J56" s="39"/>
      <c r="K56" s="4"/>
    </row>
    <row r="57" spans="1:11" ht="16.5">
      <c r="A57" s="4"/>
      <c r="B57" s="44" t="s">
        <v>676</v>
      </c>
      <c r="C57" s="39" t="s">
        <v>683</v>
      </c>
      <c r="D57" s="39"/>
      <c r="E57" s="39"/>
      <c r="F57" s="39"/>
      <c r="G57" s="39"/>
      <c r="H57" s="39"/>
      <c r="I57" s="39"/>
      <c r="J57" s="39"/>
      <c r="K57" s="4"/>
    </row>
    <row r="58" spans="1:11" ht="16.5">
      <c r="A58" s="4"/>
      <c r="B58" s="44" t="s">
        <v>677</v>
      </c>
      <c r="C58" s="39" t="s">
        <v>682</v>
      </c>
      <c r="D58" s="39"/>
      <c r="E58" s="39"/>
      <c r="F58" s="39"/>
      <c r="G58" s="39"/>
      <c r="H58" s="39"/>
      <c r="I58" s="39"/>
      <c r="J58" s="39"/>
      <c r="K58" s="4"/>
    </row>
    <row r="59" spans="1:11" ht="16.5">
      <c r="A59" s="4"/>
      <c r="B59" s="44" t="s">
        <v>678</v>
      </c>
      <c r="C59" s="39" t="s">
        <v>684</v>
      </c>
      <c r="D59" s="39"/>
      <c r="E59" s="39"/>
      <c r="F59" s="39"/>
      <c r="G59" s="39"/>
      <c r="H59" s="39"/>
      <c r="I59" s="39"/>
      <c r="J59" s="39"/>
      <c r="K59" s="4"/>
    </row>
    <row r="60" spans="1:11" ht="16.5">
      <c r="A60" s="4"/>
      <c r="B60" s="44" t="s">
        <v>686</v>
      </c>
      <c r="C60" s="39" t="s">
        <v>685</v>
      </c>
      <c r="D60" s="39"/>
      <c r="E60" s="39"/>
      <c r="F60" s="39"/>
      <c r="G60" s="39"/>
      <c r="H60" s="39"/>
      <c r="I60" s="39"/>
      <c r="J60" s="39"/>
      <c r="K60" s="4"/>
    </row>
    <row r="61" spans="1:11" ht="16.5">
      <c r="A61" s="4"/>
      <c r="B61" s="44" t="s">
        <v>85</v>
      </c>
      <c r="C61" s="39" t="s">
        <v>121</v>
      </c>
      <c r="D61" s="39"/>
      <c r="E61" s="39"/>
      <c r="F61" s="39"/>
      <c r="G61" s="39"/>
      <c r="H61" s="39"/>
      <c r="I61" s="39"/>
      <c r="J61" s="39"/>
      <c r="K61" s="4"/>
    </row>
    <row r="62" spans="1:11" ht="33" customHeight="1">
      <c r="A62" s="4"/>
      <c r="B62" s="516" t="s">
        <v>688</v>
      </c>
      <c r="C62" s="578" t="s">
        <v>689</v>
      </c>
      <c r="D62" s="578"/>
      <c r="E62" s="578"/>
      <c r="F62" s="578"/>
      <c r="G62" s="578"/>
      <c r="H62" s="578"/>
      <c r="I62" s="578"/>
      <c r="J62" s="578"/>
      <c r="K62" s="4"/>
    </row>
    <row r="63" spans="1:11" ht="16.5">
      <c r="A63" s="4"/>
      <c r="B63" s="38" t="s">
        <v>722</v>
      </c>
      <c r="C63" s="39" t="s">
        <v>176</v>
      </c>
      <c r="D63" s="37"/>
      <c r="E63" s="37"/>
      <c r="F63" s="37"/>
      <c r="G63" s="37"/>
      <c r="H63" s="37"/>
      <c r="I63" s="37"/>
      <c r="J63" s="37"/>
      <c r="K63" s="4"/>
    </row>
    <row r="64" spans="1:11" ht="16.5">
      <c r="A64" s="4"/>
      <c r="B64" s="37"/>
      <c r="C64" s="37"/>
      <c r="D64" s="37"/>
      <c r="E64" s="37"/>
      <c r="F64" s="37"/>
      <c r="G64" s="37"/>
      <c r="H64" s="37"/>
      <c r="I64" s="37"/>
      <c r="J64" s="37"/>
      <c r="K64" s="4"/>
    </row>
    <row r="65" spans="1:11" ht="15.75">
      <c r="A65" s="4"/>
      <c r="B65" s="577" t="s">
        <v>670</v>
      </c>
      <c r="C65" s="577"/>
      <c r="D65" s="577"/>
      <c r="E65" s="577"/>
      <c r="F65" s="577"/>
      <c r="G65" s="577"/>
      <c r="H65" s="577"/>
      <c r="I65" s="577"/>
      <c r="J65" s="577"/>
      <c r="K65" s="4"/>
    </row>
    <row r="66" spans="1:11" ht="15.75">
      <c r="A66" s="4"/>
      <c r="B66" s="577"/>
      <c r="C66" s="577"/>
      <c r="D66" s="577"/>
      <c r="E66" s="577"/>
      <c r="F66" s="577"/>
      <c r="G66" s="577"/>
      <c r="H66" s="577"/>
      <c r="I66" s="577"/>
      <c r="J66" s="577"/>
      <c r="K66" s="4"/>
    </row>
    <row r="67" spans="1:11" ht="15.75">
      <c r="A67" s="4"/>
      <c r="B67" s="570" t="s">
        <v>735</v>
      </c>
      <c r="C67" s="570"/>
      <c r="D67" s="570"/>
      <c r="E67" s="570"/>
      <c r="F67" s="570"/>
      <c r="G67" s="570"/>
      <c r="H67" s="570"/>
      <c r="I67" s="570"/>
      <c r="J67" s="570"/>
      <c r="K67" s="4"/>
    </row>
    <row r="68" spans="1:11" ht="15.75">
      <c r="A68" s="4"/>
      <c r="B68" s="570"/>
      <c r="C68" s="570"/>
      <c r="D68" s="570"/>
      <c r="E68" s="570"/>
      <c r="F68" s="570"/>
      <c r="G68" s="570"/>
      <c r="H68" s="570"/>
      <c r="I68" s="570"/>
      <c r="J68" s="570"/>
      <c r="K68" s="4"/>
    </row>
    <row r="69" spans="1:11" ht="15.75">
      <c r="A69" s="4"/>
      <c r="B69" s="570"/>
      <c r="C69" s="570"/>
      <c r="D69" s="570"/>
      <c r="E69" s="570"/>
      <c r="F69" s="570"/>
      <c r="G69" s="570"/>
      <c r="H69" s="570"/>
      <c r="I69" s="570"/>
      <c r="J69" s="570"/>
      <c r="K69" s="4"/>
    </row>
    <row r="70" spans="1:11" ht="16.5">
      <c r="A70" s="4"/>
      <c r="B70" s="37"/>
      <c r="C70" s="37"/>
      <c r="D70" s="37"/>
      <c r="E70" s="37"/>
      <c r="F70" s="37"/>
      <c r="G70" s="37"/>
      <c r="H70" s="37"/>
      <c r="I70" s="37"/>
      <c r="J70" s="37"/>
      <c r="K70" s="4"/>
    </row>
    <row r="71" spans="1:11" ht="16.5">
      <c r="A71" s="4"/>
      <c r="B71" s="37"/>
      <c r="C71" s="37"/>
      <c r="D71" s="37"/>
      <c r="E71" s="37"/>
      <c r="F71" s="37"/>
      <c r="G71" s="37"/>
      <c r="H71" s="37"/>
      <c r="I71" s="37"/>
      <c r="J71" s="37"/>
      <c r="K71" s="4"/>
    </row>
    <row r="72" spans="1:11" ht="16.5">
      <c r="A72" s="4"/>
      <c r="B72" s="514" t="s">
        <v>690</v>
      </c>
      <c r="C72" s="37"/>
      <c r="D72" s="37"/>
      <c r="E72" s="37"/>
      <c r="F72" s="37"/>
      <c r="G72" s="37"/>
      <c r="H72" s="37"/>
      <c r="I72" s="37"/>
      <c r="J72" s="37"/>
      <c r="K72" s="4"/>
    </row>
    <row r="73" spans="1:11" ht="16.5">
      <c r="A73" s="4"/>
      <c r="B73" s="514"/>
      <c r="C73" s="37"/>
      <c r="D73" s="37"/>
      <c r="E73" s="37"/>
      <c r="F73" s="37"/>
      <c r="G73" s="37"/>
      <c r="H73" s="37"/>
      <c r="I73" s="37"/>
      <c r="J73" s="37"/>
      <c r="K73" s="4"/>
    </row>
    <row r="74" spans="1:11" ht="15.75" customHeight="1">
      <c r="A74" s="4"/>
      <c r="B74" s="570" t="s">
        <v>691</v>
      </c>
      <c r="C74" s="570"/>
      <c r="D74" s="570"/>
      <c r="E74" s="570"/>
      <c r="F74" s="570"/>
      <c r="G74" s="570"/>
      <c r="H74" s="570"/>
      <c r="I74" s="570"/>
      <c r="J74" s="570"/>
      <c r="K74" s="4"/>
    </row>
    <row r="75" spans="1:11" ht="15.75" customHeight="1">
      <c r="A75" s="4"/>
      <c r="B75" s="570"/>
      <c r="C75" s="570"/>
      <c r="D75" s="570"/>
      <c r="E75" s="570"/>
      <c r="F75" s="570"/>
      <c r="G75" s="570"/>
      <c r="H75" s="570"/>
      <c r="I75" s="570"/>
      <c r="J75" s="570"/>
      <c r="K75" s="4"/>
    </row>
    <row r="76" spans="1:11" ht="15.75" customHeight="1">
      <c r="A76" s="4"/>
      <c r="B76" s="570"/>
      <c r="C76" s="570"/>
      <c r="D76" s="570"/>
      <c r="E76" s="570"/>
      <c r="F76" s="570"/>
      <c r="G76" s="570"/>
      <c r="H76" s="570"/>
      <c r="I76" s="570"/>
      <c r="J76" s="570"/>
      <c r="K76" s="4"/>
    </row>
    <row r="77" spans="1:11" ht="15.75" customHeight="1">
      <c r="A77" s="4"/>
      <c r="B77" s="571"/>
      <c r="C77" s="571"/>
      <c r="D77" s="571"/>
      <c r="E77" s="571"/>
      <c r="F77" s="571"/>
      <c r="G77" s="571"/>
      <c r="H77" s="571"/>
      <c r="I77" s="571"/>
      <c r="J77" s="571"/>
      <c r="K77" s="4"/>
    </row>
    <row r="78" spans="1:11" ht="16.5">
      <c r="A78" s="4"/>
      <c r="B78" s="42"/>
      <c r="C78" s="42"/>
      <c r="D78" s="42"/>
      <c r="E78" s="42"/>
      <c r="F78" s="42"/>
      <c r="G78" s="42"/>
      <c r="H78" s="42"/>
      <c r="I78" s="42"/>
      <c r="J78" s="42"/>
      <c r="K78" s="4"/>
    </row>
    <row r="79" spans="1:11" ht="16.5">
      <c r="A79" s="4"/>
      <c r="B79" s="37"/>
      <c r="C79" s="37"/>
      <c r="D79" s="37"/>
      <c r="E79" s="37"/>
      <c r="F79" s="37"/>
      <c r="G79" s="37"/>
      <c r="H79" s="37"/>
      <c r="I79" s="37"/>
      <c r="J79" s="37"/>
      <c r="K79" s="4"/>
    </row>
    <row r="80" spans="1:11" ht="16.5">
      <c r="A80" s="4"/>
      <c r="B80" s="511" t="s">
        <v>692</v>
      </c>
      <c r="C80" s="37"/>
      <c r="D80" s="37"/>
      <c r="E80" s="37"/>
      <c r="F80" s="37"/>
      <c r="G80" s="37"/>
      <c r="H80" s="37"/>
      <c r="I80" s="37"/>
      <c r="J80" s="37"/>
      <c r="K80" s="4"/>
    </row>
    <row r="81" spans="1:11" ht="16.5">
      <c r="A81" s="4"/>
      <c r="B81" s="511"/>
      <c r="C81" s="37"/>
      <c r="D81" s="37"/>
      <c r="E81" s="37"/>
      <c r="F81" s="37"/>
      <c r="G81" s="37"/>
      <c r="H81" s="37"/>
      <c r="I81" s="37"/>
      <c r="J81" s="37"/>
      <c r="K81" s="4"/>
    </row>
    <row r="82" spans="1:11" ht="15.75">
      <c r="A82" s="4"/>
      <c r="B82" s="570" t="s">
        <v>693</v>
      </c>
      <c r="C82" s="570"/>
      <c r="D82" s="570"/>
      <c r="E82" s="570"/>
      <c r="F82" s="570"/>
      <c r="G82" s="570"/>
      <c r="H82" s="570"/>
      <c r="I82" s="570"/>
      <c r="J82" s="570"/>
      <c r="K82" s="4"/>
    </row>
    <row r="83" spans="1:11" ht="15.75">
      <c r="A83" s="4"/>
      <c r="B83" s="570"/>
      <c r="C83" s="570"/>
      <c r="D83" s="570"/>
      <c r="E83" s="570"/>
      <c r="F83" s="570"/>
      <c r="G83" s="570"/>
      <c r="H83" s="570"/>
      <c r="I83" s="570"/>
      <c r="J83" s="570"/>
      <c r="K83" s="4"/>
    </row>
    <row r="84" spans="1:11" ht="15.75">
      <c r="A84" s="4"/>
      <c r="B84" s="570"/>
      <c r="C84" s="570"/>
      <c r="D84" s="570"/>
      <c r="E84" s="570"/>
      <c r="F84" s="570"/>
      <c r="G84" s="570"/>
      <c r="H84" s="570"/>
      <c r="I84" s="570"/>
      <c r="J84" s="570"/>
      <c r="K84" s="4"/>
    </row>
    <row r="85" spans="1:11" ht="15.75">
      <c r="A85" s="4"/>
      <c r="B85" s="593"/>
      <c r="C85" s="593"/>
      <c r="D85" s="593"/>
      <c r="E85" s="593"/>
      <c r="F85" s="593"/>
      <c r="G85" s="593"/>
      <c r="H85" s="593"/>
      <c r="I85" s="593"/>
      <c r="J85" s="593"/>
      <c r="K85" s="4"/>
    </row>
    <row r="86" spans="1:11" ht="15.75">
      <c r="A86" s="4"/>
      <c r="B86" s="582"/>
      <c r="C86" s="582"/>
      <c r="D86" s="582"/>
      <c r="E86" s="582"/>
      <c r="F86" s="582"/>
      <c r="G86" s="582"/>
      <c r="H86" s="582"/>
      <c r="I86" s="582"/>
      <c r="J86" s="582"/>
      <c r="K86" s="4"/>
    </row>
    <row r="87" spans="1:11" ht="16.5">
      <c r="A87" s="4"/>
      <c r="B87" s="37"/>
      <c r="C87" s="37"/>
      <c r="D87" s="37"/>
      <c r="E87" s="37"/>
      <c r="F87" s="37"/>
      <c r="G87" s="37"/>
      <c r="H87" s="37"/>
      <c r="I87" s="37"/>
      <c r="J87" s="37"/>
      <c r="K87" s="4"/>
    </row>
    <row r="88" spans="1:11" ht="16.5">
      <c r="A88" s="4"/>
      <c r="B88" s="39" t="s">
        <v>694</v>
      </c>
      <c r="C88" s="37"/>
      <c r="D88" s="37"/>
      <c r="E88" s="37"/>
      <c r="F88" s="37"/>
      <c r="G88" s="37"/>
      <c r="H88" s="37"/>
      <c r="I88" s="37"/>
      <c r="J88" s="37"/>
      <c r="K88" s="4"/>
    </row>
    <row r="89" spans="1:11" ht="15.75">
      <c r="A89" s="4"/>
      <c r="B89" s="573" t="s">
        <v>122</v>
      </c>
      <c r="C89" s="577"/>
      <c r="D89" s="577"/>
      <c r="E89" s="577"/>
      <c r="F89" s="577"/>
      <c r="G89" s="577"/>
      <c r="H89" s="577"/>
      <c r="I89" s="577"/>
      <c r="J89" s="577"/>
      <c r="K89" s="4"/>
    </row>
    <row r="90" spans="1:11" ht="12.75" customHeight="1">
      <c r="A90" s="4"/>
      <c r="B90" s="577"/>
      <c r="C90" s="577"/>
      <c r="D90" s="577"/>
      <c r="E90" s="577"/>
      <c r="F90" s="577"/>
      <c r="G90" s="577"/>
      <c r="H90" s="577"/>
      <c r="I90" s="577"/>
      <c r="J90" s="577"/>
      <c r="K90" s="4"/>
    </row>
    <row r="91" spans="1:11" ht="12.75" customHeight="1">
      <c r="A91" s="4"/>
      <c r="B91" s="577"/>
      <c r="C91" s="577"/>
      <c r="D91" s="577"/>
      <c r="E91" s="577"/>
      <c r="F91" s="577"/>
      <c r="G91" s="577"/>
      <c r="H91" s="577"/>
      <c r="I91" s="577"/>
      <c r="J91" s="577"/>
      <c r="K91" s="4"/>
    </row>
    <row r="92" spans="1:11" ht="15.75" customHeight="1">
      <c r="A92" s="4"/>
      <c r="B92" s="577"/>
      <c r="C92" s="577"/>
      <c r="D92" s="577"/>
      <c r="E92" s="577"/>
      <c r="F92" s="577"/>
      <c r="G92" s="577"/>
      <c r="H92" s="577"/>
      <c r="I92" s="577"/>
      <c r="J92" s="577"/>
      <c r="K92" s="4"/>
    </row>
    <row r="93" spans="1:11" ht="16.5">
      <c r="A93" s="4"/>
      <c r="B93" s="37"/>
      <c r="C93" s="37"/>
      <c r="D93" s="37"/>
      <c r="E93" s="37"/>
      <c r="F93" s="37"/>
      <c r="G93" s="37"/>
      <c r="H93" s="37"/>
      <c r="I93" s="37"/>
      <c r="J93" s="37"/>
      <c r="K93" s="4"/>
    </row>
    <row r="94" spans="1:11" ht="16.5">
      <c r="A94" s="4"/>
      <c r="B94" s="39" t="s">
        <v>695</v>
      </c>
      <c r="C94" s="37"/>
      <c r="D94" s="37"/>
      <c r="E94" s="37"/>
      <c r="F94" s="37"/>
      <c r="G94" s="37"/>
      <c r="H94" s="37"/>
      <c r="I94" s="37"/>
      <c r="J94" s="37"/>
      <c r="K94" s="4"/>
    </row>
    <row r="95" spans="1:11" ht="15" customHeight="1">
      <c r="A95" s="4"/>
      <c r="B95" s="573" t="s">
        <v>119</v>
      </c>
      <c r="C95" s="573"/>
      <c r="D95" s="573"/>
      <c r="E95" s="573"/>
      <c r="F95" s="573"/>
      <c r="G95" s="573"/>
      <c r="H95" s="573"/>
      <c r="I95" s="573"/>
      <c r="J95" s="573"/>
      <c r="K95" s="4"/>
    </row>
    <row r="96" spans="1:11" ht="15" customHeight="1">
      <c r="A96" s="4"/>
      <c r="B96" s="573"/>
      <c r="C96" s="573"/>
      <c r="D96" s="573"/>
      <c r="E96" s="573"/>
      <c r="F96" s="573"/>
      <c r="G96" s="573"/>
      <c r="H96" s="573"/>
      <c r="I96" s="573"/>
      <c r="J96" s="573"/>
      <c r="K96" s="4"/>
    </row>
    <row r="97" spans="1:11" ht="15" customHeight="1">
      <c r="A97" s="4"/>
      <c r="B97" s="573"/>
      <c r="C97" s="573"/>
      <c r="D97" s="573"/>
      <c r="E97" s="573"/>
      <c r="F97" s="573"/>
      <c r="G97" s="573"/>
      <c r="H97" s="573"/>
      <c r="I97" s="573"/>
      <c r="J97" s="573"/>
      <c r="K97" s="4"/>
    </row>
    <row r="98" spans="1:11" ht="15" customHeight="1">
      <c r="A98" s="4"/>
      <c r="B98" s="573"/>
      <c r="C98" s="573"/>
      <c r="D98" s="573"/>
      <c r="E98" s="573"/>
      <c r="F98" s="573"/>
      <c r="G98" s="573"/>
      <c r="H98" s="573"/>
      <c r="I98" s="573"/>
      <c r="J98" s="573"/>
      <c r="K98" s="4"/>
    </row>
    <row r="99" spans="1:11" ht="15" customHeight="1">
      <c r="A99" s="4"/>
      <c r="B99" s="573"/>
      <c r="C99" s="573"/>
      <c r="D99" s="573"/>
      <c r="E99" s="573"/>
      <c r="F99" s="573"/>
      <c r="G99" s="573"/>
      <c r="H99" s="573"/>
      <c r="I99" s="573"/>
      <c r="J99" s="573"/>
      <c r="K99" s="4"/>
    </row>
    <row r="100" spans="1:11" ht="16.5">
      <c r="A100" s="4"/>
      <c r="B100" s="37"/>
      <c r="C100" s="37"/>
      <c r="D100" s="37"/>
      <c r="E100" s="37"/>
      <c r="F100" s="37"/>
      <c r="G100" s="37"/>
      <c r="H100" s="37"/>
      <c r="I100" s="37"/>
      <c r="J100" s="37"/>
      <c r="K100" s="4"/>
    </row>
    <row r="101" spans="1:11" ht="16.5">
      <c r="A101" s="4"/>
      <c r="B101" s="35" t="s">
        <v>165</v>
      </c>
      <c r="C101" s="37"/>
      <c r="D101" s="37"/>
      <c r="E101" s="37"/>
      <c r="F101" s="37"/>
      <c r="G101" s="37"/>
      <c r="H101" s="37"/>
      <c r="I101" s="37"/>
      <c r="J101" s="37"/>
      <c r="K101" s="4"/>
    </row>
    <row r="102" spans="1:11" ht="16.5">
      <c r="A102" s="4"/>
      <c r="B102" s="39"/>
      <c r="C102" s="37"/>
      <c r="D102" s="37"/>
      <c r="E102" s="37"/>
      <c r="F102" s="37"/>
      <c r="G102" s="37"/>
      <c r="H102" s="37"/>
      <c r="I102" s="37"/>
      <c r="J102" s="37"/>
      <c r="K102" s="4"/>
    </row>
    <row r="103" spans="1:11" ht="16.5">
      <c r="A103" s="4"/>
      <c r="B103" s="45" t="s">
        <v>730</v>
      </c>
      <c r="C103" s="39" t="s">
        <v>715</v>
      </c>
      <c r="D103" s="39"/>
      <c r="E103" s="39"/>
      <c r="F103" s="39"/>
      <c r="G103" s="39"/>
      <c r="H103" s="37"/>
      <c r="I103" s="37"/>
      <c r="J103" s="37"/>
      <c r="K103" s="4"/>
    </row>
    <row r="104" spans="1:11" ht="16.5">
      <c r="A104" s="4"/>
      <c r="B104" s="45"/>
      <c r="C104" s="39"/>
      <c r="D104" s="39"/>
      <c r="E104" s="39"/>
      <c r="F104" s="39"/>
      <c r="G104" s="39"/>
      <c r="H104" s="37"/>
      <c r="I104" s="37"/>
      <c r="J104" s="37"/>
      <c r="K104" s="4"/>
    </row>
    <row r="105" spans="1:11" ht="15.75">
      <c r="A105" s="4"/>
      <c r="B105" s="570" t="s">
        <v>716</v>
      </c>
      <c r="C105" s="570"/>
      <c r="D105" s="570"/>
      <c r="E105" s="570"/>
      <c r="F105" s="570"/>
      <c r="G105" s="570"/>
      <c r="H105" s="570"/>
      <c r="I105" s="570"/>
      <c r="J105" s="570"/>
      <c r="K105" s="4"/>
    </row>
    <row r="106" spans="1:11" ht="15.75">
      <c r="A106" s="4"/>
      <c r="B106" s="570"/>
      <c r="C106" s="570"/>
      <c r="D106" s="570"/>
      <c r="E106" s="570"/>
      <c r="F106" s="570"/>
      <c r="G106" s="570"/>
      <c r="H106" s="570"/>
      <c r="I106" s="570"/>
      <c r="J106" s="570"/>
      <c r="K106" s="4"/>
    </row>
    <row r="107" spans="1:11" ht="15.75">
      <c r="A107" s="4"/>
      <c r="B107" s="570"/>
      <c r="C107" s="570"/>
      <c r="D107" s="570"/>
      <c r="E107" s="570"/>
      <c r="F107" s="570"/>
      <c r="G107" s="570"/>
      <c r="H107" s="570"/>
      <c r="I107" s="570"/>
      <c r="J107" s="570"/>
      <c r="K107" s="4"/>
    </row>
    <row r="108" spans="1:11" ht="15.75">
      <c r="A108" s="4"/>
      <c r="B108" s="570"/>
      <c r="C108" s="570"/>
      <c r="D108" s="570"/>
      <c r="E108" s="570"/>
      <c r="F108" s="570"/>
      <c r="G108" s="570"/>
      <c r="H108" s="570"/>
      <c r="I108" s="570"/>
      <c r="J108" s="570"/>
      <c r="K108" s="4"/>
    </row>
    <row r="109" spans="1:11" ht="16.5">
      <c r="A109" s="4"/>
      <c r="B109" s="32"/>
      <c r="C109" s="32"/>
      <c r="D109" s="32"/>
      <c r="E109" s="32"/>
      <c r="F109" s="32"/>
      <c r="G109" s="32"/>
      <c r="H109" s="32"/>
      <c r="I109" s="32"/>
      <c r="J109" s="32"/>
      <c r="K109" s="4"/>
    </row>
    <row r="110" spans="1:11" ht="16.5">
      <c r="A110" s="4"/>
      <c r="B110" s="45" t="s">
        <v>731</v>
      </c>
      <c r="C110" s="39" t="s">
        <v>669</v>
      </c>
      <c r="D110" s="32"/>
      <c r="E110" s="32"/>
      <c r="F110" s="32"/>
      <c r="G110" s="32"/>
      <c r="H110" s="32"/>
      <c r="I110" s="32"/>
      <c r="J110" s="32"/>
      <c r="K110" s="4"/>
    </row>
    <row r="111" spans="1:11" ht="16.5">
      <c r="A111" s="4"/>
      <c r="B111" s="32"/>
      <c r="C111" s="32"/>
      <c r="D111" s="32"/>
      <c r="E111" s="32"/>
      <c r="F111" s="32"/>
      <c r="G111" s="32"/>
      <c r="H111" s="32"/>
      <c r="I111" s="32"/>
      <c r="J111" s="32"/>
      <c r="K111" s="4"/>
    </row>
    <row r="112" spans="1:11" ht="15.75">
      <c r="A112" s="4"/>
      <c r="B112" s="570" t="s">
        <v>717</v>
      </c>
      <c r="C112" s="570"/>
      <c r="D112" s="570"/>
      <c r="E112" s="570"/>
      <c r="F112" s="570"/>
      <c r="G112" s="570"/>
      <c r="H112" s="570"/>
      <c r="I112" s="570"/>
      <c r="J112" s="570"/>
      <c r="K112" s="4"/>
    </row>
    <row r="113" spans="1:11" ht="15.75">
      <c r="A113" s="4"/>
      <c r="B113" s="572"/>
      <c r="C113" s="572"/>
      <c r="D113" s="572"/>
      <c r="E113" s="572"/>
      <c r="F113" s="572"/>
      <c r="G113" s="572"/>
      <c r="H113" s="572"/>
      <c r="I113" s="572"/>
      <c r="J113" s="572"/>
      <c r="K113" s="4"/>
    </row>
    <row r="114" spans="1:11" ht="12.75">
      <c r="A114" s="31"/>
      <c r="B114" s="572"/>
      <c r="C114" s="572"/>
      <c r="D114" s="572"/>
      <c r="E114" s="572"/>
      <c r="F114" s="572"/>
      <c r="G114" s="572"/>
      <c r="H114" s="572"/>
      <c r="I114" s="572"/>
      <c r="J114" s="572"/>
      <c r="K114" s="31"/>
    </row>
    <row r="115" spans="1:11" ht="12.75">
      <c r="A115" s="31"/>
      <c r="B115" s="572"/>
      <c r="C115" s="572"/>
      <c r="D115" s="572"/>
      <c r="E115" s="572"/>
      <c r="F115" s="572"/>
      <c r="G115" s="572"/>
      <c r="H115" s="572"/>
      <c r="I115" s="572"/>
      <c r="J115" s="572"/>
      <c r="K115" s="31"/>
    </row>
    <row r="116" spans="1:11" ht="16.5">
      <c r="A116" s="31"/>
      <c r="B116" s="42"/>
      <c r="C116" s="42"/>
      <c r="D116" s="42"/>
      <c r="E116" s="42"/>
      <c r="F116" s="42"/>
      <c r="G116" s="42"/>
      <c r="H116" s="42"/>
      <c r="I116" s="42"/>
      <c r="J116" s="42"/>
      <c r="K116" s="31"/>
    </row>
    <row r="117" spans="1:11" ht="16.5">
      <c r="A117" s="4"/>
      <c r="B117" s="44" t="s">
        <v>732</v>
      </c>
      <c r="C117" s="594" t="s">
        <v>718</v>
      </c>
      <c r="D117" s="594"/>
      <c r="E117" s="594"/>
      <c r="F117" s="594"/>
      <c r="G117" s="594"/>
      <c r="H117" s="594"/>
      <c r="I117" s="594"/>
      <c r="J117" s="594"/>
      <c r="K117" s="4"/>
    </row>
    <row r="118" spans="1:11" ht="16.5">
      <c r="A118" s="4"/>
      <c r="B118" s="44"/>
      <c r="C118" s="594"/>
      <c r="D118" s="594"/>
      <c r="E118" s="594"/>
      <c r="F118" s="594"/>
      <c r="G118" s="594"/>
      <c r="H118" s="594"/>
      <c r="I118" s="594"/>
      <c r="J118" s="594"/>
      <c r="K118" s="4"/>
    </row>
    <row r="119" spans="1:11" ht="16.5">
      <c r="A119" s="4"/>
      <c r="B119" s="44"/>
      <c r="C119" s="505"/>
      <c r="D119" s="505"/>
      <c r="E119" s="505"/>
      <c r="F119" s="505"/>
      <c r="G119" s="505"/>
      <c r="H119" s="505"/>
      <c r="I119" s="505"/>
      <c r="J119" s="505"/>
      <c r="K119" s="4"/>
    </row>
    <row r="120" spans="1:11" ht="15.75">
      <c r="A120" s="4"/>
      <c r="B120" s="570" t="s">
        <v>719</v>
      </c>
      <c r="C120" s="570"/>
      <c r="D120" s="570"/>
      <c r="E120" s="570"/>
      <c r="F120" s="570"/>
      <c r="G120" s="570"/>
      <c r="H120" s="570"/>
      <c r="I120" s="570"/>
      <c r="J120" s="570"/>
      <c r="K120" s="4"/>
    </row>
    <row r="121" spans="1:11" ht="15.75">
      <c r="A121" s="4"/>
      <c r="B121" s="570"/>
      <c r="C121" s="570"/>
      <c r="D121" s="570"/>
      <c r="E121" s="570"/>
      <c r="F121" s="570"/>
      <c r="G121" s="570"/>
      <c r="H121" s="570"/>
      <c r="I121" s="570"/>
      <c r="J121" s="570"/>
      <c r="K121" s="4"/>
    </row>
    <row r="122" spans="1:11" ht="15.75">
      <c r="A122" s="4"/>
      <c r="B122" s="570"/>
      <c r="C122" s="570"/>
      <c r="D122" s="570"/>
      <c r="E122" s="570"/>
      <c r="F122" s="570"/>
      <c r="G122" s="570"/>
      <c r="H122" s="570"/>
      <c r="I122" s="570"/>
      <c r="J122" s="570"/>
      <c r="K122" s="4"/>
    </row>
    <row r="123" spans="1:11" ht="15.75">
      <c r="A123" s="4"/>
      <c r="B123" s="570" t="s">
        <v>720</v>
      </c>
      <c r="C123" s="570"/>
      <c r="D123" s="570"/>
      <c r="E123" s="570"/>
      <c r="F123" s="570"/>
      <c r="G123" s="570"/>
      <c r="H123" s="570"/>
      <c r="I123" s="570"/>
      <c r="J123" s="570"/>
      <c r="K123" s="4"/>
    </row>
    <row r="124" spans="1:11" ht="15.75">
      <c r="A124" s="4"/>
      <c r="B124" s="570"/>
      <c r="C124" s="570"/>
      <c r="D124" s="570"/>
      <c r="E124" s="570"/>
      <c r="F124" s="570"/>
      <c r="G124" s="570"/>
      <c r="H124" s="570"/>
      <c r="I124" s="570"/>
      <c r="J124" s="570"/>
      <c r="K124" s="4"/>
    </row>
    <row r="125" spans="1:11" ht="24.75" customHeight="1">
      <c r="A125" s="4"/>
      <c r="B125" s="573" t="s">
        <v>721</v>
      </c>
      <c r="C125" s="573"/>
      <c r="D125" s="573"/>
      <c r="E125" s="573"/>
      <c r="F125" s="573"/>
      <c r="G125" s="573"/>
      <c r="H125" s="573"/>
      <c r="I125" s="573"/>
      <c r="J125" s="573"/>
      <c r="K125" s="4"/>
    </row>
    <row r="126" spans="1:11" ht="15.75">
      <c r="A126" s="4"/>
      <c r="B126" s="573"/>
      <c r="C126" s="573"/>
      <c r="D126" s="573"/>
      <c r="E126" s="573"/>
      <c r="F126" s="573"/>
      <c r="G126" s="573"/>
      <c r="H126" s="573"/>
      <c r="I126" s="573"/>
      <c r="J126" s="573"/>
      <c r="K126" s="4"/>
    </row>
    <row r="127" spans="1:11" ht="15.75">
      <c r="A127" s="4"/>
      <c r="B127" s="573"/>
      <c r="C127" s="573"/>
      <c r="D127" s="573"/>
      <c r="E127" s="573"/>
      <c r="F127" s="573"/>
      <c r="G127" s="573"/>
      <c r="H127" s="573"/>
      <c r="I127" s="573"/>
      <c r="J127" s="573"/>
      <c r="K127" s="4"/>
    </row>
    <row r="128" spans="1:11" ht="15.75">
      <c r="A128" s="4"/>
      <c r="B128" s="573"/>
      <c r="C128" s="573"/>
      <c r="D128" s="573"/>
      <c r="E128" s="573"/>
      <c r="F128" s="573"/>
      <c r="G128" s="573"/>
      <c r="H128" s="573"/>
      <c r="I128" s="573"/>
      <c r="J128" s="573"/>
      <c r="K128" s="4"/>
    </row>
    <row r="129" spans="1:11" ht="15.75">
      <c r="A129" s="4"/>
      <c r="B129" s="573"/>
      <c r="C129" s="573"/>
      <c r="D129" s="573"/>
      <c r="E129" s="573"/>
      <c r="F129" s="573"/>
      <c r="G129" s="573"/>
      <c r="H129" s="573"/>
      <c r="I129" s="573"/>
      <c r="J129" s="573"/>
      <c r="K129" s="4"/>
    </row>
    <row r="130" spans="1:11" ht="16.5">
      <c r="A130" s="4"/>
      <c r="B130" s="43"/>
      <c r="C130" s="43"/>
      <c r="D130" s="43"/>
      <c r="E130" s="43"/>
      <c r="F130" s="43"/>
      <c r="G130" s="43"/>
      <c r="H130" s="43"/>
      <c r="I130" s="43"/>
      <c r="J130" s="43"/>
      <c r="K130" s="4"/>
    </row>
    <row r="131" spans="1:11" ht="16.5">
      <c r="A131" s="4"/>
      <c r="B131" s="44" t="s">
        <v>738</v>
      </c>
      <c r="C131" s="594" t="s">
        <v>723</v>
      </c>
      <c r="D131" s="594"/>
      <c r="E131" s="594"/>
      <c r="F131" s="594"/>
      <c r="G131" s="594"/>
      <c r="H131" s="594"/>
      <c r="I131" s="594"/>
      <c r="J131" s="594"/>
      <c r="K131" s="4"/>
    </row>
    <row r="132" spans="1:11" ht="16.5">
      <c r="A132" s="4"/>
      <c r="B132" s="44"/>
      <c r="C132" s="594"/>
      <c r="D132" s="594"/>
      <c r="E132" s="594"/>
      <c r="F132" s="594"/>
      <c r="G132" s="594"/>
      <c r="H132" s="594"/>
      <c r="I132" s="594"/>
      <c r="J132" s="594"/>
      <c r="K132" s="4"/>
    </row>
    <row r="133" spans="1:11" ht="16.5">
      <c r="A133" s="4"/>
      <c r="B133" s="44"/>
      <c r="C133" s="505"/>
      <c r="D133" s="505"/>
      <c r="E133" s="505"/>
      <c r="F133" s="505"/>
      <c r="G133" s="505"/>
      <c r="H133" s="505"/>
      <c r="I133" s="505"/>
      <c r="J133" s="505"/>
      <c r="K133" s="4"/>
    </row>
    <row r="134" spans="1:11" ht="15.75">
      <c r="A134" s="4"/>
      <c r="B134" s="570" t="s">
        <v>719</v>
      </c>
      <c r="C134" s="570"/>
      <c r="D134" s="570"/>
      <c r="E134" s="570"/>
      <c r="F134" s="570"/>
      <c r="G134" s="570"/>
      <c r="H134" s="570"/>
      <c r="I134" s="570"/>
      <c r="J134" s="570"/>
      <c r="K134" s="4"/>
    </row>
    <row r="135" spans="1:11" ht="15.75">
      <c r="A135" s="4"/>
      <c r="B135" s="570"/>
      <c r="C135" s="570"/>
      <c r="D135" s="570"/>
      <c r="E135" s="570"/>
      <c r="F135" s="570"/>
      <c r="G135" s="570"/>
      <c r="H135" s="570"/>
      <c r="I135" s="570"/>
      <c r="J135" s="570"/>
      <c r="K135" s="4"/>
    </row>
    <row r="136" spans="1:11" ht="15.75">
      <c r="A136" s="4"/>
      <c r="B136" s="570"/>
      <c r="C136" s="570"/>
      <c r="D136" s="570"/>
      <c r="E136" s="570"/>
      <c r="F136" s="570"/>
      <c r="G136" s="570"/>
      <c r="H136" s="570"/>
      <c r="I136" s="570"/>
      <c r="J136" s="570"/>
      <c r="K136" s="4"/>
    </row>
    <row r="137" spans="1:11" ht="15.75">
      <c r="A137" s="4"/>
      <c r="B137" s="570" t="s">
        <v>720</v>
      </c>
      <c r="C137" s="570"/>
      <c r="D137" s="570"/>
      <c r="E137" s="570"/>
      <c r="F137" s="570"/>
      <c r="G137" s="570"/>
      <c r="H137" s="570"/>
      <c r="I137" s="570"/>
      <c r="J137" s="570"/>
      <c r="K137" s="4"/>
    </row>
    <row r="138" spans="1:11" ht="15.75">
      <c r="A138" s="4"/>
      <c r="B138" s="570"/>
      <c r="C138" s="570"/>
      <c r="D138" s="570"/>
      <c r="E138" s="570"/>
      <c r="F138" s="570"/>
      <c r="G138" s="570"/>
      <c r="H138" s="570"/>
      <c r="I138" s="570"/>
      <c r="J138" s="570"/>
      <c r="K138" s="4"/>
    </row>
    <row r="139" spans="1:11" ht="15.75">
      <c r="A139" s="4"/>
      <c r="B139" s="573" t="s">
        <v>721</v>
      </c>
      <c r="C139" s="573"/>
      <c r="D139" s="573"/>
      <c r="E139" s="573"/>
      <c r="F139" s="573"/>
      <c r="G139" s="573"/>
      <c r="H139" s="573"/>
      <c r="I139" s="573"/>
      <c r="J139" s="573"/>
      <c r="K139" s="4"/>
    </row>
    <row r="140" spans="1:11" ht="15.75">
      <c r="A140" s="4"/>
      <c r="B140" s="573"/>
      <c r="C140" s="573"/>
      <c r="D140" s="573"/>
      <c r="E140" s="573"/>
      <c r="F140" s="573"/>
      <c r="G140" s="573"/>
      <c r="H140" s="573"/>
      <c r="I140" s="573"/>
      <c r="J140" s="573"/>
      <c r="K140" s="4"/>
    </row>
    <row r="141" spans="1:11" ht="15.75">
      <c r="A141" s="4"/>
      <c r="B141" s="573"/>
      <c r="C141" s="573"/>
      <c r="D141" s="573"/>
      <c r="E141" s="573"/>
      <c r="F141" s="573"/>
      <c r="G141" s="573"/>
      <c r="H141" s="573"/>
      <c r="I141" s="573"/>
      <c r="J141" s="573"/>
      <c r="K141" s="4"/>
    </row>
    <row r="142" spans="1:11" ht="15.75">
      <c r="A142" s="4"/>
      <c r="B142" s="573"/>
      <c r="C142" s="573"/>
      <c r="D142" s="573"/>
      <c r="E142" s="573"/>
      <c r="F142" s="573"/>
      <c r="G142" s="573"/>
      <c r="H142" s="573"/>
      <c r="I142" s="573"/>
      <c r="J142" s="573"/>
      <c r="K142" s="4"/>
    </row>
    <row r="143" spans="1:11" ht="15.75">
      <c r="A143" s="4"/>
      <c r="B143" s="573"/>
      <c r="C143" s="573"/>
      <c r="D143" s="573"/>
      <c r="E143" s="573"/>
      <c r="F143" s="573"/>
      <c r="G143" s="573"/>
      <c r="H143" s="573"/>
      <c r="I143" s="573"/>
      <c r="J143" s="573"/>
      <c r="K143" s="4"/>
    </row>
    <row r="144" spans="1:11" ht="16.5">
      <c r="A144" s="4"/>
      <c r="B144" s="43"/>
      <c r="C144" s="43"/>
      <c r="D144" s="43"/>
      <c r="E144" s="43"/>
      <c r="F144" s="43"/>
      <c r="G144" s="43"/>
      <c r="H144" s="43"/>
      <c r="I144" s="43"/>
      <c r="J144" s="43"/>
      <c r="K144" s="4"/>
    </row>
    <row r="145" spans="1:11" ht="16.5">
      <c r="A145" s="4"/>
      <c r="B145" s="44" t="s">
        <v>739</v>
      </c>
      <c r="C145" s="594" t="s">
        <v>724</v>
      </c>
      <c r="D145" s="594"/>
      <c r="E145" s="594"/>
      <c r="F145" s="594"/>
      <c r="G145" s="594"/>
      <c r="H145" s="594"/>
      <c r="I145" s="594"/>
      <c r="J145" s="594"/>
      <c r="K145" s="4"/>
    </row>
    <row r="146" spans="1:11" ht="16.5">
      <c r="A146" s="4"/>
      <c r="B146" s="44"/>
      <c r="C146" s="505"/>
      <c r="D146" s="505"/>
      <c r="E146" s="505"/>
      <c r="F146" s="505"/>
      <c r="G146" s="505"/>
      <c r="H146" s="505"/>
      <c r="I146" s="505"/>
      <c r="J146" s="505"/>
      <c r="K146" s="4"/>
    </row>
    <row r="147" spans="1:11" ht="15.75">
      <c r="A147" s="4"/>
      <c r="B147" s="570" t="s">
        <v>719</v>
      </c>
      <c r="C147" s="570"/>
      <c r="D147" s="570"/>
      <c r="E147" s="570"/>
      <c r="F147" s="570"/>
      <c r="G147" s="570"/>
      <c r="H147" s="570"/>
      <c r="I147" s="570"/>
      <c r="J147" s="570"/>
      <c r="K147" s="4"/>
    </row>
    <row r="148" spans="1:11" ht="15.75">
      <c r="A148" s="4"/>
      <c r="B148" s="570"/>
      <c r="C148" s="570"/>
      <c r="D148" s="570"/>
      <c r="E148" s="570"/>
      <c r="F148" s="570"/>
      <c r="G148" s="570"/>
      <c r="H148" s="570"/>
      <c r="I148" s="570"/>
      <c r="J148" s="570"/>
      <c r="K148" s="4"/>
    </row>
    <row r="149" spans="1:11" ht="15.75">
      <c r="A149" s="4"/>
      <c r="B149" s="570"/>
      <c r="C149" s="570"/>
      <c r="D149" s="570"/>
      <c r="E149" s="570"/>
      <c r="F149" s="570"/>
      <c r="G149" s="570"/>
      <c r="H149" s="570"/>
      <c r="I149" s="570"/>
      <c r="J149" s="570"/>
      <c r="K149" s="4"/>
    </row>
    <row r="150" spans="1:11" ht="15.75">
      <c r="A150" s="4"/>
      <c r="B150" s="573" t="s">
        <v>721</v>
      </c>
      <c r="C150" s="573"/>
      <c r="D150" s="573"/>
      <c r="E150" s="573"/>
      <c r="F150" s="573"/>
      <c r="G150" s="573"/>
      <c r="H150" s="573"/>
      <c r="I150" s="573"/>
      <c r="J150" s="573"/>
      <c r="K150" s="4"/>
    </row>
    <row r="151" spans="1:11" ht="15.75">
      <c r="A151" s="4"/>
      <c r="B151" s="573"/>
      <c r="C151" s="573"/>
      <c r="D151" s="573"/>
      <c r="E151" s="573"/>
      <c r="F151" s="573"/>
      <c r="G151" s="573"/>
      <c r="H151" s="573"/>
      <c r="I151" s="573"/>
      <c r="J151" s="573"/>
      <c r="K151" s="4"/>
    </row>
    <row r="152" spans="1:11" ht="15.75">
      <c r="A152" s="4"/>
      <c r="B152" s="573"/>
      <c r="C152" s="573"/>
      <c r="D152" s="573"/>
      <c r="E152" s="573"/>
      <c r="F152" s="573"/>
      <c r="G152" s="573"/>
      <c r="H152" s="573"/>
      <c r="I152" s="573"/>
      <c r="J152" s="573"/>
      <c r="K152" s="4"/>
    </row>
    <row r="153" spans="1:11" ht="15.75">
      <c r="A153" s="4"/>
      <c r="B153" s="573"/>
      <c r="C153" s="573"/>
      <c r="D153" s="573"/>
      <c r="E153" s="573"/>
      <c r="F153" s="573"/>
      <c r="G153" s="573"/>
      <c r="H153" s="573"/>
      <c r="I153" s="573"/>
      <c r="J153" s="573"/>
      <c r="K153" s="4"/>
    </row>
    <row r="154" spans="1:11" ht="15.75">
      <c r="A154" s="4"/>
      <c r="B154" s="573"/>
      <c r="C154" s="573"/>
      <c r="D154" s="573"/>
      <c r="E154" s="573"/>
      <c r="F154" s="573"/>
      <c r="G154" s="573"/>
      <c r="H154" s="573"/>
      <c r="I154" s="573"/>
      <c r="J154" s="573"/>
      <c r="K154" s="4"/>
    </row>
    <row r="155" spans="1:11" ht="16.5">
      <c r="A155" s="4"/>
      <c r="B155" s="43"/>
      <c r="C155" s="43"/>
      <c r="D155" s="43"/>
      <c r="E155" s="43"/>
      <c r="F155" s="43"/>
      <c r="G155" s="43"/>
      <c r="H155" s="43"/>
      <c r="I155" s="43"/>
      <c r="J155" s="43"/>
      <c r="K155" s="4"/>
    </row>
    <row r="156" spans="1:11" ht="16.5">
      <c r="A156" s="4"/>
      <c r="B156" s="44" t="s">
        <v>740</v>
      </c>
      <c r="C156" s="594" t="s">
        <v>725</v>
      </c>
      <c r="D156" s="594"/>
      <c r="E156" s="594"/>
      <c r="F156" s="594"/>
      <c r="G156" s="594"/>
      <c r="H156" s="594"/>
      <c r="I156" s="594"/>
      <c r="J156" s="594"/>
      <c r="K156" s="4"/>
    </row>
    <row r="157" spans="1:11" ht="16.5">
      <c r="A157" s="4"/>
      <c r="B157" s="44"/>
      <c r="C157" s="505"/>
      <c r="D157" s="505"/>
      <c r="E157" s="505"/>
      <c r="F157" s="505"/>
      <c r="G157" s="505"/>
      <c r="H157" s="505"/>
      <c r="I157" s="505"/>
      <c r="J157" s="505"/>
      <c r="K157" s="4"/>
    </row>
    <row r="158" spans="1:11" ht="15.75">
      <c r="A158" s="4"/>
      <c r="B158" s="576" t="s">
        <v>1032</v>
      </c>
      <c r="C158" s="570"/>
      <c r="D158" s="570"/>
      <c r="E158" s="570"/>
      <c r="F158" s="570"/>
      <c r="G158" s="570"/>
      <c r="H158" s="570"/>
      <c r="I158" s="570"/>
      <c r="J158" s="570"/>
      <c r="K158" s="4"/>
    </row>
    <row r="159" spans="1:11" ht="15.75">
      <c r="A159" s="4"/>
      <c r="B159" s="570"/>
      <c r="C159" s="570"/>
      <c r="D159" s="570"/>
      <c r="E159" s="570"/>
      <c r="F159" s="570"/>
      <c r="G159" s="570"/>
      <c r="H159" s="570"/>
      <c r="I159" s="570"/>
      <c r="J159" s="570"/>
      <c r="K159" s="4"/>
    </row>
    <row r="160" spans="1:11" ht="15.75">
      <c r="A160" s="4"/>
      <c r="B160" s="570"/>
      <c r="C160" s="570"/>
      <c r="D160" s="570"/>
      <c r="E160" s="570"/>
      <c r="F160" s="570"/>
      <c r="G160" s="570"/>
      <c r="H160" s="570"/>
      <c r="I160" s="570"/>
      <c r="J160" s="570"/>
      <c r="K160" s="4"/>
    </row>
    <row r="161" spans="1:11" ht="15.75">
      <c r="A161" s="4"/>
      <c r="B161" s="570"/>
      <c r="C161" s="570"/>
      <c r="D161" s="570"/>
      <c r="E161" s="570"/>
      <c r="F161" s="570"/>
      <c r="G161" s="570"/>
      <c r="H161" s="570"/>
      <c r="I161" s="570"/>
      <c r="J161" s="570"/>
      <c r="K161" s="4"/>
    </row>
    <row r="162" spans="1:11" ht="15.75">
      <c r="A162" s="4"/>
      <c r="B162" s="570"/>
      <c r="C162" s="570"/>
      <c r="D162" s="570"/>
      <c r="E162" s="570"/>
      <c r="F162" s="570"/>
      <c r="G162" s="570"/>
      <c r="H162" s="570"/>
      <c r="I162" s="570"/>
      <c r="J162" s="570"/>
      <c r="K162" s="4"/>
    </row>
    <row r="163" spans="1:11" ht="15.75">
      <c r="A163" s="4"/>
      <c r="B163" s="570" t="s">
        <v>1033</v>
      </c>
      <c r="C163" s="570"/>
      <c r="D163" s="570"/>
      <c r="E163" s="570"/>
      <c r="F163" s="570"/>
      <c r="G163" s="570"/>
      <c r="H163" s="570"/>
      <c r="I163" s="570"/>
      <c r="J163" s="570"/>
      <c r="K163" s="4"/>
    </row>
    <row r="164" spans="1:11" ht="15.75">
      <c r="A164" s="4"/>
      <c r="B164" s="570"/>
      <c r="C164" s="570"/>
      <c r="D164" s="570"/>
      <c r="E164" s="570"/>
      <c r="F164" s="570"/>
      <c r="G164" s="570"/>
      <c r="H164" s="570"/>
      <c r="I164" s="570"/>
      <c r="J164" s="570"/>
      <c r="K164" s="4"/>
    </row>
    <row r="165" spans="1:11" ht="15.75">
      <c r="A165" s="4"/>
      <c r="B165" s="570"/>
      <c r="C165" s="570"/>
      <c r="D165" s="570"/>
      <c r="E165" s="570"/>
      <c r="F165" s="570"/>
      <c r="G165" s="570"/>
      <c r="H165" s="570"/>
      <c r="I165" s="570"/>
      <c r="J165" s="570"/>
      <c r="K165" s="4"/>
    </row>
    <row r="166" spans="1:11" ht="15.75">
      <c r="A166" s="4"/>
      <c r="B166" s="570"/>
      <c r="C166" s="570"/>
      <c r="D166" s="570"/>
      <c r="E166" s="570"/>
      <c r="F166" s="570"/>
      <c r="G166" s="570"/>
      <c r="H166" s="570"/>
      <c r="I166" s="570"/>
      <c r="J166" s="570"/>
      <c r="K166" s="4"/>
    </row>
    <row r="167" spans="1:11" ht="15.75">
      <c r="A167" s="4"/>
      <c r="B167" s="570"/>
      <c r="C167" s="570"/>
      <c r="D167" s="570"/>
      <c r="E167" s="570"/>
      <c r="F167" s="570"/>
      <c r="G167" s="570"/>
      <c r="H167" s="570"/>
      <c r="I167" s="570"/>
      <c r="J167" s="570"/>
      <c r="K167" s="4"/>
    </row>
    <row r="168" spans="1:11" ht="15.75">
      <c r="A168" s="4"/>
      <c r="B168" s="570"/>
      <c r="C168" s="570"/>
      <c r="D168" s="570"/>
      <c r="E168" s="570"/>
      <c r="F168" s="570"/>
      <c r="G168" s="570"/>
      <c r="H168" s="570"/>
      <c r="I168" s="570"/>
      <c r="J168" s="570"/>
      <c r="K168" s="4"/>
    </row>
    <row r="169" spans="1:11" ht="15.75">
      <c r="A169" s="4"/>
      <c r="B169" s="570"/>
      <c r="C169" s="570"/>
      <c r="D169" s="570"/>
      <c r="E169" s="570"/>
      <c r="F169" s="570"/>
      <c r="G169" s="570"/>
      <c r="H169" s="570"/>
      <c r="I169" s="570"/>
      <c r="J169" s="570"/>
      <c r="K169" s="4"/>
    </row>
    <row r="170" spans="1:11" ht="15.75">
      <c r="A170" s="4"/>
      <c r="B170" s="573" t="s">
        <v>726</v>
      </c>
      <c r="C170" s="573"/>
      <c r="D170" s="573"/>
      <c r="E170" s="573"/>
      <c r="F170" s="573"/>
      <c r="G170" s="573"/>
      <c r="H170" s="573"/>
      <c r="I170" s="573"/>
      <c r="J170" s="573"/>
      <c r="K170" s="4"/>
    </row>
    <row r="171" spans="1:11" ht="15.75">
      <c r="A171" s="4"/>
      <c r="B171" s="573"/>
      <c r="C171" s="573"/>
      <c r="D171" s="573"/>
      <c r="E171" s="573"/>
      <c r="F171" s="573"/>
      <c r="G171" s="573"/>
      <c r="H171" s="573"/>
      <c r="I171" s="573"/>
      <c r="J171" s="573"/>
      <c r="K171" s="4"/>
    </row>
    <row r="172" spans="1:11" ht="15.75">
      <c r="A172" s="4"/>
      <c r="B172" s="573"/>
      <c r="C172" s="573"/>
      <c r="D172" s="573"/>
      <c r="E172" s="573"/>
      <c r="F172" s="573"/>
      <c r="G172" s="573"/>
      <c r="H172" s="573"/>
      <c r="I172" s="573"/>
      <c r="J172" s="573"/>
      <c r="K172" s="4"/>
    </row>
    <row r="173" spans="1:11" ht="16.5">
      <c r="A173" s="4"/>
      <c r="B173" s="43"/>
      <c r="C173" s="43"/>
      <c r="D173" s="43"/>
      <c r="E173" s="43"/>
      <c r="F173" s="43"/>
      <c r="G173" s="43"/>
      <c r="H173" s="43"/>
      <c r="I173" s="43"/>
      <c r="J173" s="43"/>
      <c r="K173" s="4"/>
    </row>
    <row r="174" spans="1:11" ht="16.5">
      <c r="A174" s="4"/>
      <c r="B174" s="44" t="s">
        <v>727</v>
      </c>
      <c r="C174" s="39" t="s">
        <v>120</v>
      </c>
      <c r="D174" s="39"/>
      <c r="E174" s="39"/>
      <c r="F174" s="39"/>
      <c r="G174" s="39"/>
      <c r="H174" s="39"/>
      <c r="I174" s="39"/>
      <c r="J174" s="37"/>
      <c r="K174" s="4"/>
    </row>
    <row r="175" spans="1:11" ht="16.5">
      <c r="A175" s="4"/>
      <c r="B175" s="44"/>
      <c r="C175" s="39"/>
      <c r="D175" s="39"/>
      <c r="E175" s="39"/>
      <c r="F175" s="39"/>
      <c r="G175" s="39"/>
      <c r="H175" s="39"/>
      <c r="I175" s="39"/>
      <c r="J175" s="37"/>
      <c r="K175" s="4"/>
    </row>
    <row r="176" spans="1:11" ht="16.5">
      <c r="A176" s="4"/>
      <c r="B176" s="574" t="s">
        <v>179</v>
      </c>
      <c r="C176" s="571"/>
      <c r="D176" s="571"/>
      <c r="E176" s="571"/>
      <c r="F176" s="571"/>
      <c r="G176" s="571"/>
      <c r="H176" s="571"/>
      <c r="I176" s="571"/>
      <c r="J176" s="571"/>
      <c r="K176" s="4"/>
    </row>
    <row r="177" spans="1:11" ht="15.75">
      <c r="A177" s="4"/>
      <c r="B177" s="575" t="s">
        <v>728</v>
      </c>
      <c r="C177" s="571"/>
      <c r="D177" s="571"/>
      <c r="E177" s="571"/>
      <c r="F177" s="571"/>
      <c r="G177" s="571"/>
      <c r="H177" s="571"/>
      <c r="I177" s="571"/>
      <c r="J177" s="571"/>
      <c r="K177" s="4"/>
    </row>
    <row r="178" spans="1:11" ht="15.75">
      <c r="A178" s="4"/>
      <c r="B178" s="571"/>
      <c r="C178" s="571"/>
      <c r="D178" s="571"/>
      <c r="E178" s="571"/>
      <c r="F178" s="571"/>
      <c r="G178" s="571"/>
      <c r="H178" s="571"/>
      <c r="I178" s="571"/>
      <c r="J178" s="571"/>
      <c r="K178" s="4"/>
    </row>
    <row r="179" spans="1:11" ht="15.75">
      <c r="A179" s="4"/>
      <c r="B179" s="571"/>
      <c r="C179" s="571"/>
      <c r="D179" s="571"/>
      <c r="E179" s="571"/>
      <c r="F179" s="571"/>
      <c r="G179" s="571"/>
      <c r="H179" s="571"/>
      <c r="I179" s="571"/>
      <c r="J179" s="571"/>
      <c r="K179" s="4"/>
    </row>
    <row r="180" spans="1:11" ht="15.75">
      <c r="A180" s="4"/>
      <c r="B180" s="571"/>
      <c r="C180" s="571"/>
      <c r="D180" s="571"/>
      <c r="E180" s="571"/>
      <c r="F180" s="571"/>
      <c r="G180" s="571"/>
      <c r="H180" s="571"/>
      <c r="I180" s="571"/>
      <c r="J180" s="571"/>
      <c r="K180" s="4"/>
    </row>
    <row r="181" spans="1:11" ht="15.75">
      <c r="A181" s="4"/>
      <c r="B181" s="571"/>
      <c r="C181" s="571"/>
      <c r="D181" s="571"/>
      <c r="E181" s="571"/>
      <c r="F181" s="571"/>
      <c r="G181" s="571"/>
      <c r="H181" s="571"/>
      <c r="I181" s="571"/>
      <c r="J181" s="571"/>
      <c r="K181" s="4"/>
    </row>
    <row r="182" spans="1:11" ht="15.75">
      <c r="A182" s="4"/>
      <c r="B182" s="571"/>
      <c r="C182" s="571"/>
      <c r="D182" s="571"/>
      <c r="E182" s="571"/>
      <c r="F182" s="571"/>
      <c r="G182" s="571"/>
      <c r="H182" s="571"/>
      <c r="I182" s="571"/>
      <c r="J182" s="571"/>
      <c r="K182" s="4"/>
    </row>
    <row r="183" spans="1:11" ht="16.5">
      <c r="A183" s="4"/>
      <c r="B183" s="43"/>
      <c r="C183" s="43"/>
      <c r="D183" s="43"/>
      <c r="E183" s="43"/>
      <c r="F183" s="43"/>
      <c r="G183" s="43"/>
      <c r="H183" s="43"/>
      <c r="I183" s="43"/>
      <c r="J183" s="43"/>
      <c r="K183" s="4"/>
    </row>
    <row r="184" spans="1:11" ht="16.5">
      <c r="A184" s="4"/>
      <c r="B184" s="42"/>
      <c r="C184" s="42"/>
      <c r="D184" s="42"/>
      <c r="E184" s="42"/>
      <c r="F184" s="42"/>
      <c r="G184" s="42"/>
      <c r="H184" s="42"/>
      <c r="I184" s="42"/>
      <c r="J184" s="42"/>
      <c r="K184" s="4"/>
    </row>
    <row r="185" spans="1:11" ht="16.5">
      <c r="A185" s="4"/>
      <c r="B185" s="44" t="s">
        <v>729</v>
      </c>
      <c r="C185" s="594" t="s">
        <v>741</v>
      </c>
      <c r="D185" s="580"/>
      <c r="E185" s="580"/>
      <c r="F185" s="580"/>
      <c r="G185" s="580"/>
      <c r="H185" s="580"/>
      <c r="I185" s="580"/>
      <c r="J185" s="580"/>
      <c r="K185" s="4"/>
    </row>
    <row r="186" spans="1:11" ht="16.5">
      <c r="A186" s="4"/>
      <c r="B186" s="44"/>
      <c r="C186" s="505"/>
      <c r="D186" s="504"/>
      <c r="E186" s="504"/>
      <c r="F186" s="504"/>
      <c r="G186" s="504"/>
      <c r="H186" s="504"/>
      <c r="I186" s="504"/>
      <c r="J186" s="504"/>
      <c r="K186" s="4"/>
    </row>
    <row r="187" spans="1:11" ht="15.75">
      <c r="A187" s="4"/>
      <c r="B187" s="570" t="s">
        <v>742</v>
      </c>
      <c r="C187" s="571"/>
      <c r="D187" s="571"/>
      <c r="E187" s="571"/>
      <c r="F187" s="571"/>
      <c r="G187" s="571"/>
      <c r="H187" s="571"/>
      <c r="I187" s="571"/>
      <c r="J187" s="571"/>
      <c r="K187" s="4"/>
    </row>
    <row r="188" spans="1:11" ht="15.75">
      <c r="A188" s="4"/>
      <c r="B188" s="570"/>
      <c r="C188" s="571"/>
      <c r="D188" s="571"/>
      <c r="E188" s="571"/>
      <c r="F188" s="571"/>
      <c r="G188" s="571"/>
      <c r="H188" s="571"/>
      <c r="I188" s="571"/>
      <c r="J188" s="571"/>
      <c r="K188" s="4"/>
    </row>
    <row r="189" spans="1:11" ht="15.75" customHeight="1">
      <c r="A189" s="4"/>
      <c r="B189" s="571"/>
      <c r="C189" s="571"/>
      <c r="D189" s="571"/>
      <c r="E189" s="571"/>
      <c r="F189" s="571"/>
      <c r="G189" s="571"/>
      <c r="H189" s="571"/>
      <c r="I189" s="571"/>
      <c r="J189" s="571"/>
      <c r="K189" s="4"/>
    </row>
    <row r="190" spans="1:11" ht="15.75" customHeight="1">
      <c r="A190" s="4"/>
      <c r="B190" s="593" t="s">
        <v>743</v>
      </c>
      <c r="C190" s="593"/>
      <c r="D190" s="593"/>
      <c r="E190" s="593"/>
      <c r="F190" s="593"/>
      <c r="G190" s="593"/>
      <c r="H190" s="593"/>
      <c r="I190" s="593"/>
      <c r="J190" s="593"/>
      <c r="K190" s="4"/>
    </row>
    <row r="191" spans="1:11" ht="15.75" customHeight="1">
      <c r="A191" s="4"/>
      <c r="B191" s="593"/>
      <c r="C191" s="593"/>
      <c r="D191" s="593"/>
      <c r="E191" s="593"/>
      <c r="F191" s="593"/>
      <c r="G191" s="593"/>
      <c r="H191" s="593"/>
      <c r="I191" s="593"/>
      <c r="J191" s="593"/>
      <c r="K191" s="4"/>
    </row>
    <row r="192" spans="1:11" ht="15.75" customHeight="1">
      <c r="A192" s="4"/>
      <c r="B192" s="593"/>
      <c r="C192" s="593"/>
      <c r="D192" s="593"/>
      <c r="E192" s="593"/>
      <c r="F192" s="593"/>
      <c r="G192" s="593"/>
      <c r="H192" s="593"/>
      <c r="I192" s="593"/>
      <c r="J192" s="593"/>
      <c r="K192" s="4"/>
    </row>
    <row r="193" spans="1:11" ht="15.75" customHeight="1">
      <c r="A193" s="4"/>
      <c r="B193" s="593"/>
      <c r="C193" s="593"/>
      <c r="D193" s="593"/>
      <c r="E193" s="593"/>
      <c r="F193" s="593"/>
      <c r="G193" s="593"/>
      <c r="H193" s="593"/>
      <c r="I193" s="593"/>
      <c r="J193" s="593"/>
      <c r="K193" s="4"/>
    </row>
    <row r="194" spans="1:11" ht="15.75">
      <c r="A194" s="4"/>
      <c r="K194" s="4"/>
    </row>
    <row r="195" spans="1:11" ht="15.75" customHeight="1">
      <c r="A195" s="4"/>
      <c r="B195" s="44" t="s">
        <v>744</v>
      </c>
      <c r="C195" s="594" t="s">
        <v>745</v>
      </c>
      <c r="D195" s="580"/>
      <c r="E195" s="580"/>
      <c r="F195" s="580"/>
      <c r="G195" s="580"/>
      <c r="H195" s="580"/>
      <c r="I195" s="580"/>
      <c r="J195" s="580"/>
      <c r="K195" s="4"/>
    </row>
    <row r="196" spans="1:11" ht="15.75" customHeight="1">
      <c r="A196" s="4"/>
      <c r="B196" s="44"/>
      <c r="C196" s="505"/>
      <c r="D196" s="504"/>
      <c r="E196" s="504"/>
      <c r="F196" s="504"/>
      <c r="G196" s="504"/>
      <c r="H196" s="504"/>
      <c r="I196" s="504"/>
      <c r="J196" s="504"/>
      <c r="K196" s="4"/>
    </row>
    <row r="197" spans="1:11" ht="15.75" customHeight="1">
      <c r="A197" s="4"/>
      <c r="B197" s="570" t="s">
        <v>746</v>
      </c>
      <c r="C197" s="571"/>
      <c r="D197" s="571"/>
      <c r="E197" s="571"/>
      <c r="F197" s="571"/>
      <c r="G197" s="571"/>
      <c r="H197" s="571"/>
      <c r="I197" s="571"/>
      <c r="J197" s="571"/>
      <c r="K197" s="4"/>
    </row>
    <row r="198" spans="1:11" ht="15.75" customHeight="1">
      <c r="A198" s="4"/>
      <c r="B198" s="570"/>
      <c r="C198" s="571"/>
      <c r="D198" s="571"/>
      <c r="E198" s="571"/>
      <c r="F198" s="571"/>
      <c r="G198" s="571"/>
      <c r="H198" s="571"/>
      <c r="I198" s="571"/>
      <c r="J198" s="571"/>
      <c r="K198" s="4"/>
    </row>
    <row r="199" spans="1:11" ht="15.75" customHeight="1">
      <c r="A199" s="4"/>
      <c r="B199" s="571"/>
      <c r="C199" s="571"/>
      <c r="D199" s="571"/>
      <c r="E199" s="571"/>
      <c r="F199" s="571"/>
      <c r="G199" s="571"/>
      <c r="H199" s="571"/>
      <c r="I199" s="571"/>
      <c r="J199" s="571"/>
      <c r="K199" s="4"/>
    </row>
    <row r="200" spans="1:11" ht="15.75" customHeight="1">
      <c r="A200" s="4"/>
      <c r="B200" s="573" t="s">
        <v>753</v>
      </c>
      <c r="C200" s="573"/>
      <c r="D200" s="573"/>
      <c r="E200" s="573"/>
      <c r="F200" s="573"/>
      <c r="G200" s="573"/>
      <c r="H200" s="573"/>
      <c r="I200" s="573"/>
      <c r="J200" s="573"/>
      <c r="K200" s="4"/>
    </row>
    <row r="201" spans="1:11" ht="15.75" customHeight="1">
      <c r="A201" s="4"/>
      <c r="B201" s="573"/>
      <c r="C201" s="573"/>
      <c r="D201" s="573"/>
      <c r="E201" s="573"/>
      <c r="F201" s="573"/>
      <c r="G201" s="573"/>
      <c r="H201" s="573"/>
      <c r="I201" s="573"/>
      <c r="J201" s="573"/>
      <c r="K201" s="4"/>
    </row>
    <row r="202" spans="1:11" ht="15.75" customHeight="1">
      <c r="A202" s="4"/>
      <c r="B202" s="573"/>
      <c r="C202" s="573"/>
      <c r="D202" s="573"/>
      <c r="E202" s="573"/>
      <c r="F202" s="573"/>
      <c r="G202" s="573"/>
      <c r="H202" s="573"/>
      <c r="I202" s="573"/>
      <c r="J202" s="573"/>
      <c r="K202" s="4"/>
    </row>
    <row r="203" spans="1:11" ht="15.75" customHeight="1">
      <c r="A203" s="4"/>
      <c r="B203" s="573"/>
      <c r="C203" s="573"/>
      <c r="D203" s="573"/>
      <c r="E203" s="573"/>
      <c r="F203" s="573"/>
      <c r="G203" s="573"/>
      <c r="H203" s="573"/>
      <c r="I203" s="573"/>
      <c r="J203" s="573"/>
      <c r="K203" s="4"/>
    </row>
    <row r="204" spans="1:11" ht="15.75" customHeight="1">
      <c r="A204" s="4"/>
      <c r="B204" s="573"/>
      <c r="C204" s="573"/>
      <c r="D204" s="573"/>
      <c r="E204" s="573"/>
      <c r="F204" s="573"/>
      <c r="G204" s="573"/>
      <c r="H204" s="573"/>
      <c r="I204" s="573"/>
      <c r="J204" s="573"/>
      <c r="K204" s="4"/>
    </row>
    <row r="205" spans="1:11" ht="15.75" customHeight="1">
      <c r="A205" s="4"/>
      <c r="B205" s="43"/>
      <c r="C205" s="43"/>
      <c r="D205" s="43"/>
      <c r="E205" s="43"/>
      <c r="F205" s="43"/>
      <c r="G205" s="43"/>
      <c r="H205" s="43"/>
      <c r="I205" s="43"/>
      <c r="J205" s="43"/>
      <c r="K205" s="4"/>
    </row>
    <row r="206" spans="1:11" ht="15.75" customHeight="1">
      <c r="A206" s="4"/>
      <c r="B206" s="44" t="s">
        <v>755</v>
      </c>
      <c r="C206" s="39" t="s">
        <v>747</v>
      </c>
      <c r="D206" s="37"/>
      <c r="E206" s="37"/>
      <c r="F206" s="37"/>
      <c r="G206" s="37"/>
      <c r="H206" s="37"/>
      <c r="I206" s="34"/>
      <c r="J206" s="34"/>
      <c r="K206" s="4"/>
    </row>
    <row r="207" spans="1:11" ht="15.75" customHeight="1">
      <c r="A207" s="4"/>
      <c r="B207" s="44"/>
      <c r="C207" s="39"/>
      <c r="D207" s="37"/>
      <c r="E207" s="37"/>
      <c r="F207" s="37"/>
      <c r="G207" s="37"/>
      <c r="H207" s="37"/>
      <c r="I207" s="34"/>
      <c r="J207" s="34"/>
      <c r="K207" s="4"/>
    </row>
    <row r="208" spans="1:11" ht="15.75" customHeight="1">
      <c r="A208" s="4"/>
      <c r="B208" s="570" t="s">
        <v>748</v>
      </c>
      <c r="C208" s="572"/>
      <c r="D208" s="572"/>
      <c r="E208" s="572"/>
      <c r="F208" s="572"/>
      <c r="G208" s="572"/>
      <c r="H208" s="572"/>
      <c r="I208" s="572"/>
      <c r="J208" s="572"/>
      <c r="K208" s="4"/>
    </row>
    <row r="209" spans="1:11" ht="15.75" customHeight="1">
      <c r="A209" s="4"/>
      <c r="B209" s="572"/>
      <c r="C209" s="572"/>
      <c r="D209" s="572"/>
      <c r="E209" s="572"/>
      <c r="F209" s="572"/>
      <c r="G209" s="572"/>
      <c r="H209" s="572"/>
      <c r="I209" s="572"/>
      <c r="J209" s="572"/>
      <c r="K209" s="4"/>
    </row>
    <row r="210" spans="1:11" ht="15.75" customHeight="1">
      <c r="A210" s="4"/>
      <c r="B210" s="572"/>
      <c r="C210" s="572"/>
      <c r="D210" s="572"/>
      <c r="E210" s="572"/>
      <c r="F210" s="572"/>
      <c r="G210" s="572"/>
      <c r="H210" s="572"/>
      <c r="I210" s="572"/>
      <c r="J210" s="572"/>
      <c r="K210" s="4"/>
    </row>
    <row r="211" spans="1:11" ht="15.75" customHeight="1">
      <c r="A211" s="4"/>
      <c r="B211" s="572"/>
      <c r="C211" s="572"/>
      <c r="D211" s="572"/>
      <c r="E211" s="572"/>
      <c r="F211" s="572"/>
      <c r="G211" s="572"/>
      <c r="H211" s="572"/>
      <c r="I211" s="572"/>
      <c r="J211" s="572"/>
      <c r="K211" s="4"/>
    </row>
    <row r="212" spans="1:11" ht="16.5">
      <c r="A212" s="4"/>
      <c r="B212" s="46"/>
      <c r="C212" s="37"/>
      <c r="D212" s="37"/>
      <c r="E212" s="37"/>
      <c r="F212" s="37"/>
      <c r="G212" s="37"/>
      <c r="H212" s="37"/>
      <c r="I212" s="37"/>
      <c r="J212" s="37"/>
      <c r="K212" s="4"/>
    </row>
    <row r="213" spans="1:11" ht="16.5">
      <c r="A213" s="4"/>
      <c r="B213" s="44" t="s">
        <v>756</v>
      </c>
      <c r="C213" s="39" t="s">
        <v>121</v>
      </c>
      <c r="D213" s="37"/>
      <c r="E213" s="37"/>
      <c r="F213" s="37"/>
      <c r="G213" s="37"/>
      <c r="H213" s="37"/>
      <c r="I213" s="37"/>
      <c r="J213" s="37"/>
      <c r="K213" s="4"/>
    </row>
    <row r="214" spans="1:11" ht="16.5">
      <c r="A214" s="4"/>
      <c r="B214" s="44"/>
      <c r="C214" s="39"/>
      <c r="D214" s="37"/>
      <c r="E214" s="37"/>
      <c r="F214" s="37"/>
      <c r="G214" s="37"/>
      <c r="H214" s="37"/>
      <c r="I214" s="37"/>
      <c r="J214" s="37"/>
      <c r="K214" s="4"/>
    </row>
    <row r="215" spans="1:11" ht="15.75">
      <c r="A215" s="4"/>
      <c r="B215" s="570" t="s">
        <v>754</v>
      </c>
      <c r="C215" s="572"/>
      <c r="D215" s="572"/>
      <c r="E215" s="572"/>
      <c r="F215" s="572"/>
      <c r="G215" s="572"/>
      <c r="H215" s="572"/>
      <c r="I215" s="572"/>
      <c r="J215" s="572"/>
      <c r="K215" s="4"/>
    </row>
    <row r="216" spans="1:11" ht="15.75" customHeight="1">
      <c r="A216" s="4"/>
      <c r="B216" s="572"/>
      <c r="C216" s="572"/>
      <c r="D216" s="572"/>
      <c r="E216" s="572"/>
      <c r="F216" s="572"/>
      <c r="G216" s="572"/>
      <c r="H216" s="572"/>
      <c r="I216" s="572"/>
      <c r="J216" s="572"/>
      <c r="K216" s="4"/>
    </row>
    <row r="217" spans="1:11" ht="15.75" customHeight="1">
      <c r="A217" s="4"/>
      <c r="B217" s="572"/>
      <c r="C217" s="572"/>
      <c r="D217" s="572"/>
      <c r="E217" s="572"/>
      <c r="F217" s="572"/>
      <c r="G217" s="572"/>
      <c r="H217" s="572"/>
      <c r="I217" s="572"/>
      <c r="J217" s="572"/>
      <c r="K217" s="4"/>
    </row>
    <row r="218" spans="1:11" ht="15.75" customHeight="1">
      <c r="A218" s="4"/>
      <c r="B218" s="572"/>
      <c r="C218" s="572"/>
      <c r="D218" s="572"/>
      <c r="E218" s="572"/>
      <c r="F218" s="572"/>
      <c r="G218" s="572"/>
      <c r="H218" s="572"/>
      <c r="I218" s="572"/>
      <c r="J218" s="572"/>
      <c r="K218" s="4"/>
    </row>
    <row r="219" spans="1:11" ht="15.75" customHeight="1">
      <c r="A219" s="4"/>
      <c r="B219" s="31"/>
      <c r="C219" s="31"/>
      <c r="D219" s="31"/>
      <c r="E219" s="31"/>
      <c r="F219" s="31"/>
      <c r="G219" s="31"/>
      <c r="H219" s="31"/>
      <c r="I219" s="31"/>
      <c r="J219" s="31"/>
      <c r="K219" s="4"/>
    </row>
    <row r="220" spans="1:11" ht="15.75" customHeight="1">
      <c r="A220" s="4"/>
      <c r="B220" s="44" t="s">
        <v>757</v>
      </c>
      <c r="C220" s="581" t="s">
        <v>758</v>
      </c>
      <c r="D220" s="582"/>
      <c r="E220" s="582"/>
      <c r="F220" s="582"/>
      <c r="G220" s="582"/>
      <c r="H220" s="582"/>
      <c r="I220" s="582"/>
      <c r="J220" s="582"/>
      <c r="K220" s="4"/>
    </row>
    <row r="221" spans="1:11" ht="15.75" customHeight="1">
      <c r="A221" s="4"/>
      <c r="B221" s="44"/>
      <c r="C221" s="582"/>
      <c r="D221" s="582"/>
      <c r="E221" s="582"/>
      <c r="F221" s="582"/>
      <c r="G221" s="582"/>
      <c r="H221" s="582"/>
      <c r="I221" s="582"/>
      <c r="J221" s="582"/>
      <c r="K221" s="4"/>
    </row>
    <row r="222" spans="1:11" ht="15.75" customHeight="1">
      <c r="A222" s="4"/>
      <c r="B222" s="44"/>
      <c r="C222" s="503"/>
      <c r="D222" s="503"/>
      <c r="E222" s="503"/>
      <c r="F222" s="503"/>
      <c r="G222" s="503"/>
      <c r="H222" s="503"/>
      <c r="I222" s="503"/>
      <c r="J222" s="503"/>
      <c r="K222" s="4"/>
    </row>
    <row r="223" spans="1:11" ht="15.75" customHeight="1">
      <c r="A223" s="4"/>
      <c r="B223" s="570" t="s">
        <v>759</v>
      </c>
      <c r="C223" s="572"/>
      <c r="D223" s="572"/>
      <c r="E223" s="572"/>
      <c r="F223" s="572"/>
      <c r="G223" s="572"/>
      <c r="H223" s="572"/>
      <c r="I223" s="572"/>
      <c r="J223" s="572"/>
      <c r="K223" s="4"/>
    </row>
    <row r="224" spans="1:11" ht="15.75" customHeight="1">
      <c r="A224" s="4"/>
      <c r="B224" s="572"/>
      <c r="C224" s="572"/>
      <c r="D224" s="572"/>
      <c r="E224" s="572"/>
      <c r="F224" s="572"/>
      <c r="G224" s="572"/>
      <c r="H224" s="572"/>
      <c r="I224" s="572"/>
      <c r="J224" s="572"/>
      <c r="K224" s="4"/>
    </row>
    <row r="225" spans="1:11" ht="15.75">
      <c r="A225" s="4"/>
      <c r="B225" s="572"/>
      <c r="C225" s="572"/>
      <c r="D225" s="572"/>
      <c r="E225" s="572"/>
      <c r="F225" s="572"/>
      <c r="G225" s="572"/>
      <c r="H225" s="572"/>
      <c r="I225" s="572"/>
      <c r="J225" s="572"/>
      <c r="K225" s="4"/>
    </row>
    <row r="226" spans="1:10" ht="15.75">
      <c r="A226" s="4"/>
      <c r="B226" s="572"/>
      <c r="C226" s="572"/>
      <c r="D226" s="572"/>
      <c r="E226" s="572"/>
      <c r="F226" s="572"/>
      <c r="G226" s="572"/>
      <c r="H226" s="572"/>
      <c r="I226" s="572"/>
      <c r="J226" s="572"/>
    </row>
    <row r="228" spans="2:10" ht="16.5">
      <c r="B228" s="44" t="s">
        <v>760</v>
      </c>
      <c r="C228" s="581" t="s">
        <v>1209</v>
      </c>
      <c r="D228" s="582"/>
      <c r="E228" s="582"/>
      <c r="F228" s="582"/>
      <c r="G228" s="582"/>
      <c r="H228" s="582"/>
      <c r="I228" s="582"/>
      <c r="J228" s="582"/>
    </row>
    <row r="229" spans="2:10" ht="16.5">
      <c r="B229" s="44"/>
      <c r="C229" s="503"/>
      <c r="D229" s="503"/>
      <c r="E229" s="503"/>
      <c r="F229" s="503"/>
      <c r="G229" s="503"/>
      <c r="H229" s="503"/>
      <c r="I229" s="503"/>
      <c r="J229" s="503"/>
    </row>
    <row r="230" spans="2:10" ht="15.75" customHeight="1">
      <c r="B230" s="570" t="s">
        <v>1030</v>
      </c>
      <c r="C230" s="582"/>
      <c r="D230" s="582"/>
      <c r="E230" s="582"/>
      <c r="F230" s="582"/>
      <c r="G230" s="582"/>
      <c r="H230" s="582"/>
      <c r="I230" s="582"/>
      <c r="J230" s="582"/>
    </row>
    <row r="231" spans="2:10" ht="15.75" customHeight="1">
      <c r="B231" s="582"/>
      <c r="C231" s="582"/>
      <c r="D231" s="582"/>
      <c r="E231" s="582"/>
      <c r="F231" s="582"/>
      <c r="G231" s="582"/>
      <c r="H231" s="582"/>
      <c r="I231" s="582"/>
      <c r="J231" s="582"/>
    </row>
    <row r="232" spans="2:10" ht="15.75" customHeight="1">
      <c r="B232" s="582"/>
      <c r="C232" s="582"/>
      <c r="D232" s="582"/>
      <c r="E232" s="582"/>
      <c r="F232" s="582"/>
      <c r="G232" s="582"/>
      <c r="H232" s="582"/>
      <c r="I232" s="582"/>
      <c r="J232" s="582"/>
    </row>
    <row r="233" spans="2:10" ht="15.75" customHeight="1">
      <c r="B233" s="582"/>
      <c r="C233" s="582"/>
      <c r="D233" s="582"/>
      <c r="E233" s="582"/>
      <c r="F233" s="582"/>
      <c r="G233" s="582"/>
      <c r="H233" s="582"/>
      <c r="I233" s="582"/>
      <c r="J233" s="582"/>
    </row>
    <row r="234" spans="2:10" ht="15.75" customHeight="1">
      <c r="B234" s="582"/>
      <c r="C234" s="582"/>
      <c r="D234" s="582"/>
      <c r="E234" s="582"/>
      <c r="F234" s="582"/>
      <c r="G234" s="582"/>
      <c r="H234" s="582"/>
      <c r="I234" s="582"/>
      <c r="J234" s="582"/>
    </row>
  </sheetData>
  <sheetProtection password="DEF0" sheet="1" objects="1" scenarios="1"/>
  <mergeCells count="45">
    <mergeCell ref="B147:J149"/>
    <mergeCell ref="B4:J4"/>
    <mergeCell ref="C39:J40"/>
    <mergeCell ref="C117:J118"/>
    <mergeCell ref="B120:J122"/>
    <mergeCell ref="B105:J108"/>
    <mergeCell ref="B23:J27"/>
    <mergeCell ref="B67:J69"/>
    <mergeCell ref="B74:J77"/>
    <mergeCell ref="B7:J10"/>
    <mergeCell ref="B112:J115"/>
    <mergeCell ref="B200:J204"/>
    <mergeCell ref="B187:J189"/>
    <mergeCell ref="B123:J124"/>
    <mergeCell ref="B125:J129"/>
    <mergeCell ref="C131:J132"/>
    <mergeCell ref="B134:J136"/>
    <mergeCell ref="B137:J138"/>
    <mergeCell ref="B139:J143"/>
    <mergeCell ref="C145:J145"/>
    <mergeCell ref="B65:J66"/>
    <mergeCell ref="B89:J92"/>
    <mergeCell ref="B32:J33"/>
    <mergeCell ref="B95:J99"/>
    <mergeCell ref="C62:J62"/>
    <mergeCell ref="B82:J86"/>
    <mergeCell ref="B42:J45"/>
    <mergeCell ref="B48:J49"/>
    <mergeCell ref="B150:J154"/>
    <mergeCell ref="C156:J156"/>
    <mergeCell ref="B176:J176"/>
    <mergeCell ref="B177:J182"/>
    <mergeCell ref="B170:J172"/>
    <mergeCell ref="B158:J162"/>
    <mergeCell ref="B163:J169"/>
    <mergeCell ref="B190:J193"/>
    <mergeCell ref="C185:J185"/>
    <mergeCell ref="C228:J228"/>
    <mergeCell ref="B230:J234"/>
    <mergeCell ref="C195:J195"/>
    <mergeCell ref="B197:J199"/>
    <mergeCell ref="B223:J226"/>
    <mergeCell ref="C220:J221"/>
    <mergeCell ref="B215:J218"/>
    <mergeCell ref="B208:J211"/>
  </mergeCells>
  <printOptions/>
  <pageMargins left="0.63" right="0.26" top="0.81" bottom="0.84" header="0.492125985" footer="0.492125985"/>
  <pageSetup horizontalDpi="300" verticalDpi="300" orientation="portrait" paperSize="9" scale="95" r:id="rId2"/>
  <headerFooter alignWithMargins="0">
    <oddHeader>&amp;R
</oddHeader>
  </headerFooter>
  <legacyDrawing r:id="rId1"/>
</worksheet>
</file>

<file path=xl/worksheets/sheet4.xml><?xml version="1.0" encoding="utf-8"?>
<worksheet xmlns="http://schemas.openxmlformats.org/spreadsheetml/2006/main" xmlns:r="http://schemas.openxmlformats.org/officeDocument/2006/relationships">
  <sheetPr codeName="Plan10"/>
  <dimension ref="A1:C654"/>
  <sheetViews>
    <sheetView showGridLines="0" showRowColHeaders="0" zoomScalePageLayoutView="0" workbookViewId="0" topLeftCell="A1">
      <selection activeCell="A1" sqref="A1"/>
    </sheetView>
  </sheetViews>
  <sheetFormatPr defaultColWidth="0" defaultRowHeight="12.75"/>
  <cols>
    <col min="1" max="1" width="7.8515625" style="0" customWidth="1"/>
    <col min="2" max="2" width="5.140625" style="10" customWidth="1"/>
    <col min="3" max="3" width="54.421875" style="0" customWidth="1"/>
    <col min="4" max="6" width="9.140625" style="0" customWidth="1"/>
  </cols>
  <sheetData>
    <row r="1" ht="32.25" customHeight="1">
      <c r="A1" s="11"/>
    </row>
    <row r="2" spans="1:3" ht="41.25" customHeight="1">
      <c r="A2" s="554" t="s">
        <v>786</v>
      </c>
      <c r="B2" s="554"/>
      <c r="C2" s="554"/>
    </row>
    <row r="3" spans="1:3" ht="12.75" customHeight="1">
      <c r="A3" s="555" t="s">
        <v>445</v>
      </c>
      <c r="B3" s="555"/>
      <c r="C3" s="555"/>
    </row>
    <row r="4" spans="1:3" ht="13.5">
      <c r="A4" s="6"/>
      <c r="B4" s="7"/>
      <c r="C4" s="3"/>
    </row>
    <row r="5" spans="2:3" ht="13.5">
      <c r="B5" s="8">
        <v>1</v>
      </c>
      <c r="C5" s="12" t="s">
        <v>444</v>
      </c>
    </row>
    <row r="6" spans="2:3" ht="13.5">
      <c r="B6" s="9">
        <f>B5+1</f>
        <v>2</v>
      </c>
      <c r="C6" s="13" t="s">
        <v>330</v>
      </c>
    </row>
    <row r="7" spans="2:3" ht="13.5">
      <c r="B7" s="9">
        <f aca="true" t="shared" si="0" ref="B7:B70">B6+1</f>
        <v>3</v>
      </c>
      <c r="C7" s="13" t="s">
        <v>271</v>
      </c>
    </row>
    <row r="8" spans="2:3" ht="13.5">
      <c r="B8" s="9">
        <f t="shared" si="0"/>
        <v>4</v>
      </c>
      <c r="C8" s="12" t="s">
        <v>787</v>
      </c>
    </row>
    <row r="9" spans="2:3" ht="13.5">
      <c r="B9" s="9">
        <f t="shared" si="0"/>
        <v>5</v>
      </c>
      <c r="C9" s="12" t="s">
        <v>788</v>
      </c>
    </row>
    <row r="10" spans="2:3" ht="13.5">
      <c r="B10" s="9">
        <f t="shared" si="0"/>
        <v>6</v>
      </c>
      <c r="C10" s="12" t="s">
        <v>789</v>
      </c>
    </row>
    <row r="11" spans="2:3" ht="13.5">
      <c r="B11" s="9">
        <f t="shared" si="0"/>
        <v>7</v>
      </c>
      <c r="C11" s="13" t="s">
        <v>558</v>
      </c>
    </row>
    <row r="12" spans="2:3" ht="13.5">
      <c r="B12" s="9">
        <f t="shared" si="0"/>
        <v>8</v>
      </c>
      <c r="C12" s="12" t="s">
        <v>790</v>
      </c>
    </row>
    <row r="13" spans="2:3" ht="13.5">
      <c r="B13" s="9">
        <f t="shared" si="0"/>
        <v>9</v>
      </c>
      <c r="C13" s="13" t="s">
        <v>331</v>
      </c>
    </row>
    <row r="14" spans="2:3" ht="13.5">
      <c r="B14" s="9">
        <f t="shared" si="0"/>
        <v>10</v>
      </c>
      <c r="C14" s="12" t="s">
        <v>791</v>
      </c>
    </row>
    <row r="15" spans="2:3" ht="13.5">
      <c r="B15" s="9">
        <f t="shared" si="0"/>
        <v>11</v>
      </c>
      <c r="C15" s="13" t="s">
        <v>332</v>
      </c>
    </row>
    <row r="16" spans="2:3" ht="13.5">
      <c r="B16" s="9">
        <f t="shared" si="0"/>
        <v>12</v>
      </c>
      <c r="C16" s="13" t="s">
        <v>272</v>
      </c>
    </row>
    <row r="17" spans="2:3" ht="13.5">
      <c r="B17" s="9">
        <f t="shared" si="0"/>
        <v>13</v>
      </c>
      <c r="C17" s="12" t="s">
        <v>792</v>
      </c>
    </row>
    <row r="18" spans="2:3" ht="13.5">
      <c r="B18" s="9">
        <f t="shared" si="0"/>
        <v>14</v>
      </c>
      <c r="C18" s="12" t="s">
        <v>793</v>
      </c>
    </row>
    <row r="19" spans="2:3" ht="13.5">
      <c r="B19" s="9">
        <f t="shared" si="0"/>
        <v>15</v>
      </c>
      <c r="C19" s="13" t="s">
        <v>333</v>
      </c>
    </row>
    <row r="20" spans="2:3" ht="13.5">
      <c r="B20" s="9">
        <f t="shared" si="0"/>
        <v>16</v>
      </c>
      <c r="C20" s="13" t="s">
        <v>334</v>
      </c>
    </row>
    <row r="21" spans="2:3" ht="13.5">
      <c r="B21" s="9">
        <f t="shared" si="0"/>
        <v>17</v>
      </c>
      <c r="C21" s="13" t="s">
        <v>335</v>
      </c>
    </row>
    <row r="22" spans="2:3" ht="13.5">
      <c r="B22" s="9">
        <f t="shared" si="0"/>
        <v>18</v>
      </c>
      <c r="C22" s="13" t="s">
        <v>559</v>
      </c>
    </row>
    <row r="23" spans="2:3" ht="13.5">
      <c r="B23" s="9">
        <f t="shared" si="0"/>
        <v>19</v>
      </c>
      <c r="C23" s="12" t="s">
        <v>794</v>
      </c>
    </row>
    <row r="24" spans="2:3" ht="13.5">
      <c r="B24" s="9">
        <f t="shared" si="0"/>
        <v>20</v>
      </c>
      <c r="C24" s="12" t="s">
        <v>795</v>
      </c>
    </row>
    <row r="25" spans="2:3" ht="13.5">
      <c r="B25" s="9">
        <f t="shared" si="0"/>
        <v>21</v>
      </c>
      <c r="C25" s="13" t="s">
        <v>560</v>
      </c>
    </row>
    <row r="26" spans="2:3" ht="13.5">
      <c r="B26" s="9">
        <f t="shared" si="0"/>
        <v>22</v>
      </c>
      <c r="C26" s="12" t="s">
        <v>796</v>
      </c>
    </row>
    <row r="27" spans="2:3" ht="13.5">
      <c r="B27" s="9">
        <f t="shared" si="0"/>
        <v>23</v>
      </c>
      <c r="C27" s="12" t="s">
        <v>797</v>
      </c>
    </row>
    <row r="28" spans="2:3" ht="13.5">
      <c r="B28" s="9">
        <f t="shared" si="0"/>
        <v>24</v>
      </c>
      <c r="C28" s="13" t="s">
        <v>336</v>
      </c>
    </row>
    <row r="29" spans="2:3" ht="13.5">
      <c r="B29" s="9">
        <f t="shared" si="0"/>
        <v>25</v>
      </c>
      <c r="C29" s="12" t="s">
        <v>798</v>
      </c>
    </row>
    <row r="30" spans="2:3" ht="13.5">
      <c r="B30" s="9">
        <f t="shared" si="0"/>
        <v>26</v>
      </c>
      <c r="C30" s="13" t="s">
        <v>337</v>
      </c>
    </row>
    <row r="31" spans="2:3" ht="13.5">
      <c r="B31" s="9">
        <f t="shared" si="0"/>
        <v>27</v>
      </c>
      <c r="C31" s="13" t="s">
        <v>338</v>
      </c>
    </row>
    <row r="32" spans="2:3" ht="13.5">
      <c r="B32" s="9">
        <f t="shared" si="0"/>
        <v>28</v>
      </c>
      <c r="C32" s="13" t="s">
        <v>339</v>
      </c>
    </row>
    <row r="33" spans="2:3" ht="13.5">
      <c r="B33" s="9">
        <f t="shared" si="0"/>
        <v>29</v>
      </c>
      <c r="C33" s="12" t="s">
        <v>799</v>
      </c>
    </row>
    <row r="34" spans="2:3" ht="13.5">
      <c r="B34" s="9">
        <f t="shared" si="0"/>
        <v>30</v>
      </c>
      <c r="C34" s="12" t="s">
        <v>800</v>
      </c>
    </row>
    <row r="35" spans="2:3" ht="13.5">
      <c r="B35" s="9">
        <f t="shared" si="0"/>
        <v>31</v>
      </c>
      <c r="C35" s="12" t="s">
        <v>803</v>
      </c>
    </row>
    <row r="36" spans="2:3" ht="13.5">
      <c r="B36" s="9">
        <f t="shared" si="0"/>
        <v>32</v>
      </c>
      <c r="C36" s="12" t="s">
        <v>804</v>
      </c>
    </row>
    <row r="37" spans="2:3" ht="13.5">
      <c r="B37" s="9">
        <f t="shared" si="0"/>
        <v>33</v>
      </c>
      <c r="C37" s="12" t="s">
        <v>805</v>
      </c>
    </row>
    <row r="38" spans="2:3" ht="13.5">
      <c r="B38" s="9">
        <f t="shared" si="0"/>
        <v>34</v>
      </c>
      <c r="C38" s="12" t="s">
        <v>806</v>
      </c>
    </row>
    <row r="39" spans="2:3" ht="13.5">
      <c r="B39" s="9">
        <f t="shared" si="0"/>
        <v>35</v>
      </c>
      <c r="C39" s="13" t="s">
        <v>340</v>
      </c>
    </row>
    <row r="40" spans="2:3" ht="13.5">
      <c r="B40" s="9">
        <f t="shared" si="0"/>
        <v>36</v>
      </c>
      <c r="C40" s="13" t="s">
        <v>561</v>
      </c>
    </row>
    <row r="41" spans="2:3" ht="13.5">
      <c r="B41" s="9">
        <f t="shared" si="0"/>
        <v>37</v>
      </c>
      <c r="C41" s="13" t="s">
        <v>341</v>
      </c>
    </row>
    <row r="42" spans="2:3" ht="13.5">
      <c r="B42" s="9">
        <f t="shared" si="0"/>
        <v>38</v>
      </c>
      <c r="C42" s="12" t="s">
        <v>807</v>
      </c>
    </row>
    <row r="43" spans="2:3" ht="13.5">
      <c r="B43" s="9">
        <f t="shared" si="0"/>
        <v>39</v>
      </c>
      <c r="C43" s="13" t="s">
        <v>562</v>
      </c>
    </row>
    <row r="44" spans="2:3" ht="13.5">
      <c r="B44" s="9">
        <f t="shared" si="0"/>
        <v>40</v>
      </c>
      <c r="C44" s="13" t="s">
        <v>343</v>
      </c>
    </row>
    <row r="45" spans="2:3" ht="13.5">
      <c r="B45" s="9">
        <f t="shared" si="0"/>
        <v>41</v>
      </c>
      <c r="C45" s="13" t="s">
        <v>344</v>
      </c>
    </row>
    <row r="46" spans="2:3" ht="13.5">
      <c r="B46" s="9">
        <f t="shared" si="0"/>
        <v>42</v>
      </c>
      <c r="C46" s="14" t="s">
        <v>563</v>
      </c>
    </row>
    <row r="47" spans="2:3" ht="13.5">
      <c r="B47" s="9">
        <f t="shared" si="0"/>
        <v>43</v>
      </c>
      <c r="C47" s="13" t="s">
        <v>273</v>
      </c>
    </row>
    <row r="48" spans="2:3" ht="13.5">
      <c r="B48" s="9">
        <f t="shared" si="0"/>
        <v>44</v>
      </c>
      <c r="C48" s="12" t="s">
        <v>808</v>
      </c>
    </row>
    <row r="49" spans="2:3" ht="13.5">
      <c r="B49" s="9">
        <f t="shared" si="0"/>
        <v>45</v>
      </c>
      <c r="C49" s="12" t="s">
        <v>809</v>
      </c>
    </row>
    <row r="50" spans="2:3" ht="13.5">
      <c r="B50" s="9">
        <f t="shared" si="0"/>
        <v>46</v>
      </c>
      <c r="C50" s="12" t="s">
        <v>810</v>
      </c>
    </row>
    <row r="51" spans="2:3" ht="13.5">
      <c r="B51" s="9">
        <f t="shared" si="0"/>
        <v>47</v>
      </c>
      <c r="C51" s="13" t="s">
        <v>345</v>
      </c>
    </row>
    <row r="52" spans="2:3" ht="13.5">
      <c r="B52" s="9">
        <f t="shared" si="0"/>
        <v>48</v>
      </c>
      <c r="C52" s="13" t="s">
        <v>346</v>
      </c>
    </row>
    <row r="53" spans="2:3" ht="13.5">
      <c r="B53" s="9">
        <f t="shared" si="0"/>
        <v>49</v>
      </c>
      <c r="C53" s="12" t="s">
        <v>811</v>
      </c>
    </row>
    <row r="54" spans="2:3" ht="13.5">
      <c r="B54" s="9">
        <f t="shared" si="0"/>
        <v>50</v>
      </c>
      <c r="C54" s="13" t="s">
        <v>564</v>
      </c>
    </row>
    <row r="55" spans="2:3" ht="13.5">
      <c r="B55" s="9">
        <f t="shared" si="0"/>
        <v>51</v>
      </c>
      <c r="C55" s="13" t="s">
        <v>565</v>
      </c>
    </row>
    <row r="56" spans="2:3" ht="13.5">
      <c r="B56" s="9">
        <f t="shared" si="0"/>
        <v>52</v>
      </c>
      <c r="C56" s="13" t="s">
        <v>347</v>
      </c>
    </row>
    <row r="57" spans="2:3" ht="13.5">
      <c r="B57" s="9">
        <f t="shared" si="0"/>
        <v>53</v>
      </c>
      <c r="C57" s="13" t="s">
        <v>348</v>
      </c>
    </row>
    <row r="58" spans="2:3" ht="13.5">
      <c r="B58" s="9">
        <f t="shared" si="0"/>
        <v>54</v>
      </c>
      <c r="C58" s="13" t="s">
        <v>274</v>
      </c>
    </row>
    <row r="59" spans="2:3" ht="13.5">
      <c r="B59" s="9">
        <f t="shared" si="0"/>
        <v>55</v>
      </c>
      <c r="C59" s="13" t="s">
        <v>349</v>
      </c>
    </row>
    <row r="60" spans="2:3" ht="13.5">
      <c r="B60" s="9">
        <f t="shared" si="0"/>
        <v>56</v>
      </c>
      <c r="C60" s="12" t="s">
        <v>812</v>
      </c>
    </row>
    <row r="61" spans="2:3" ht="13.5">
      <c r="B61" s="9">
        <f t="shared" si="0"/>
        <v>57</v>
      </c>
      <c r="C61" s="13" t="s">
        <v>350</v>
      </c>
    </row>
    <row r="62" spans="2:3" ht="13.5">
      <c r="B62" s="9">
        <f t="shared" si="0"/>
        <v>58</v>
      </c>
      <c r="C62" s="13" t="s">
        <v>351</v>
      </c>
    </row>
    <row r="63" spans="2:3" ht="13.5">
      <c r="B63" s="9">
        <f t="shared" si="0"/>
        <v>59</v>
      </c>
      <c r="C63" s="12" t="s">
        <v>813</v>
      </c>
    </row>
    <row r="64" spans="2:3" ht="13.5">
      <c r="B64" s="9">
        <f t="shared" si="0"/>
        <v>60</v>
      </c>
      <c r="C64" s="12" t="s">
        <v>814</v>
      </c>
    </row>
    <row r="65" spans="2:3" ht="13.5">
      <c r="B65" s="9">
        <f t="shared" si="0"/>
        <v>61</v>
      </c>
      <c r="C65" s="13" t="s">
        <v>275</v>
      </c>
    </row>
    <row r="66" spans="2:3" ht="13.5">
      <c r="B66" s="9">
        <f t="shared" si="0"/>
        <v>62</v>
      </c>
      <c r="C66" s="12" t="s">
        <v>815</v>
      </c>
    </row>
    <row r="67" spans="2:3" ht="13.5">
      <c r="B67" s="9">
        <f t="shared" si="0"/>
        <v>63</v>
      </c>
      <c r="C67" s="13" t="s">
        <v>352</v>
      </c>
    </row>
    <row r="68" spans="2:3" ht="13.5">
      <c r="B68" s="9">
        <f t="shared" si="0"/>
        <v>64</v>
      </c>
      <c r="C68" s="12" t="s">
        <v>816</v>
      </c>
    </row>
    <row r="69" spans="2:3" ht="13.5">
      <c r="B69" s="9">
        <f t="shared" si="0"/>
        <v>65</v>
      </c>
      <c r="C69" s="13" t="s">
        <v>353</v>
      </c>
    </row>
    <row r="70" spans="2:3" ht="13.5">
      <c r="B70" s="9">
        <f t="shared" si="0"/>
        <v>66</v>
      </c>
      <c r="C70" s="12" t="s">
        <v>817</v>
      </c>
    </row>
    <row r="71" spans="2:3" ht="13.5">
      <c r="B71" s="9">
        <f aca="true" t="shared" si="1" ref="B71:B134">B70+1</f>
        <v>67</v>
      </c>
      <c r="C71" s="12" t="s">
        <v>818</v>
      </c>
    </row>
    <row r="72" spans="2:3" ht="13.5">
      <c r="B72" s="9">
        <f t="shared" si="1"/>
        <v>68</v>
      </c>
      <c r="C72" s="13" t="s">
        <v>354</v>
      </c>
    </row>
    <row r="73" spans="2:3" ht="13.5">
      <c r="B73" s="9">
        <f t="shared" si="1"/>
        <v>69</v>
      </c>
      <c r="C73" s="13" t="s">
        <v>355</v>
      </c>
    </row>
    <row r="74" spans="2:3" ht="13.5">
      <c r="B74" s="9">
        <f t="shared" si="1"/>
        <v>70</v>
      </c>
      <c r="C74" s="12" t="s">
        <v>819</v>
      </c>
    </row>
    <row r="75" spans="2:3" ht="13.5">
      <c r="B75" s="9">
        <f t="shared" si="1"/>
        <v>71</v>
      </c>
      <c r="C75" s="12" t="s">
        <v>820</v>
      </c>
    </row>
    <row r="76" spans="2:3" ht="13.5">
      <c r="B76" s="9">
        <f t="shared" si="1"/>
        <v>72</v>
      </c>
      <c r="C76" s="13" t="s">
        <v>356</v>
      </c>
    </row>
    <row r="77" spans="2:3" ht="13.5">
      <c r="B77" s="9">
        <f t="shared" si="1"/>
        <v>73</v>
      </c>
      <c r="C77" s="13" t="s">
        <v>357</v>
      </c>
    </row>
    <row r="78" spans="2:3" ht="13.5">
      <c r="B78" s="9">
        <f t="shared" si="1"/>
        <v>74</v>
      </c>
      <c r="C78" s="13" t="s">
        <v>566</v>
      </c>
    </row>
    <row r="79" spans="2:3" ht="13.5">
      <c r="B79" s="9">
        <f t="shared" si="1"/>
        <v>75</v>
      </c>
      <c r="C79" s="12" t="s">
        <v>358</v>
      </c>
    </row>
    <row r="80" spans="2:3" ht="13.5">
      <c r="B80" s="9">
        <f t="shared" si="1"/>
        <v>76</v>
      </c>
      <c r="C80" s="12" t="s">
        <v>821</v>
      </c>
    </row>
    <row r="81" spans="2:3" ht="13.5">
      <c r="B81" s="9">
        <f t="shared" si="1"/>
        <v>77</v>
      </c>
      <c r="C81" s="13" t="s">
        <v>359</v>
      </c>
    </row>
    <row r="82" spans="2:3" ht="13.5">
      <c r="B82" s="9">
        <f t="shared" si="1"/>
        <v>78</v>
      </c>
      <c r="C82" s="12" t="s">
        <v>822</v>
      </c>
    </row>
    <row r="83" spans="2:3" ht="13.5">
      <c r="B83" s="9">
        <f t="shared" si="1"/>
        <v>79</v>
      </c>
      <c r="C83" s="13" t="s">
        <v>360</v>
      </c>
    </row>
    <row r="84" spans="2:3" ht="13.5">
      <c r="B84" s="9">
        <f t="shared" si="1"/>
        <v>80</v>
      </c>
      <c r="C84" s="13" t="s">
        <v>567</v>
      </c>
    </row>
    <row r="85" spans="2:3" ht="13.5">
      <c r="B85" s="9">
        <f t="shared" si="1"/>
        <v>81</v>
      </c>
      <c r="C85" s="13" t="s">
        <v>361</v>
      </c>
    </row>
    <row r="86" spans="2:3" ht="13.5">
      <c r="B86" s="9">
        <f t="shared" si="1"/>
        <v>82</v>
      </c>
      <c r="C86" s="13" t="s">
        <v>362</v>
      </c>
    </row>
    <row r="87" spans="2:3" ht="13.5">
      <c r="B87" s="9">
        <f t="shared" si="1"/>
        <v>83</v>
      </c>
      <c r="C87" s="13" t="s">
        <v>363</v>
      </c>
    </row>
    <row r="88" spans="2:3" ht="13.5">
      <c r="B88" s="9">
        <f t="shared" si="1"/>
        <v>84</v>
      </c>
      <c r="C88" s="12" t="s">
        <v>823</v>
      </c>
    </row>
    <row r="89" spans="2:3" ht="13.5">
      <c r="B89" s="9">
        <f t="shared" si="1"/>
        <v>85</v>
      </c>
      <c r="C89" s="12" t="s">
        <v>824</v>
      </c>
    </row>
    <row r="90" spans="2:3" ht="13.5">
      <c r="B90" s="9">
        <f t="shared" si="1"/>
        <v>86</v>
      </c>
      <c r="C90" s="12" t="s">
        <v>825</v>
      </c>
    </row>
    <row r="91" spans="2:3" ht="13.5">
      <c r="B91" s="9">
        <f t="shared" si="1"/>
        <v>87</v>
      </c>
      <c r="C91" s="13" t="s">
        <v>364</v>
      </c>
    </row>
    <row r="92" spans="2:3" ht="13.5">
      <c r="B92" s="9">
        <f t="shared" si="1"/>
        <v>88</v>
      </c>
      <c r="C92" s="12" t="s">
        <v>826</v>
      </c>
    </row>
    <row r="93" spans="2:3" ht="13.5">
      <c r="B93" s="9">
        <f t="shared" si="1"/>
        <v>89</v>
      </c>
      <c r="C93" s="12" t="s">
        <v>827</v>
      </c>
    </row>
    <row r="94" spans="2:3" ht="13.5">
      <c r="B94" s="9">
        <f t="shared" si="1"/>
        <v>90</v>
      </c>
      <c r="C94" s="12" t="s">
        <v>828</v>
      </c>
    </row>
    <row r="95" spans="2:3" ht="13.5">
      <c r="B95" s="9">
        <f t="shared" si="1"/>
        <v>91</v>
      </c>
      <c r="C95" s="13" t="s">
        <v>365</v>
      </c>
    </row>
    <row r="96" spans="2:3" ht="13.5">
      <c r="B96" s="9">
        <f t="shared" si="1"/>
        <v>92</v>
      </c>
      <c r="C96" s="12" t="s">
        <v>829</v>
      </c>
    </row>
    <row r="97" spans="2:3" ht="13.5">
      <c r="B97" s="9">
        <f t="shared" si="1"/>
        <v>93</v>
      </c>
      <c r="C97" s="13" t="s">
        <v>366</v>
      </c>
    </row>
    <row r="98" spans="2:3" ht="13.5">
      <c r="B98" s="9">
        <f t="shared" si="1"/>
        <v>94</v>
      </c>
      <c r="C98" s="15" t="s">
        <v>367</v>
      </c>
    </row>
    <row r="99" spans="2:3" ht="13.5">
      <c r="B99" s="9">
        <f t="shared" si="1"/>
        <v>95</v>
      </c>
      <c r="C99" s="12" t="s">
        <v>830</v>
      </c>
    </row>
    <row r="100" spans="2:3" ht="13.5">
      <c r="B100" s="9">
        <f t="shared" si="1"/>
        <v>96</v>
      </c>
      <c r="C100" s="15" t="s">
        <v>368</v>
      </c>
    </row>
    <row r="101" spans="2:3" ht="13.5">
      <c r="B101" s="9">
        <f t="shared" si="1"/>
        <v>97</v>
      </c>
      <c r="C101" s="15" t="s">
        <v>369</v>
      </c>
    </row>
    <row r="102" spans="2:3" ht="13.5">
      <c r="B102" s="9">
        <f t="shared" si="1"/>
        <v>98</v>
      </c>
      <c r="C102" s="15" t="s">
        <v>370</v>
      </c>
    </row>
    <row r="103" spans="2:3" ht="13.5">
      <c r="B103" s="9">
        <f t="shared" si="1"/>
        <v>99</v>
      </c>
      <c r="C103" s="13" t="s">
        <v>371</v>
      </c>
    </row>
    <row r="104" spans="2:3" ht="13.5">
      <c r="B104" s="9">
        <f t="shared" si="1"/>
        <v>100</v>
      </c>
      <c r="C104" s="12" t="s">
        <v>649</v>
      </c>
    </row>
    <row r="105" spans="2:3" ht="13.5">
      <c r="B105" s="9">
        <f t="shared" si="1"/>
        <v>101</v>
      </c>
      <c r="C105" s="12" t="s">
        <v>831</v>
      </c>
    </row>
    <row r="106" spans="2:3" ht="13.5">
      <c r="B106" s="9">
        <f t="shared" si="1"/>
        <v>102</v>
      </c>
      <c r="C106" s="13" t="s">
        <v>276</v>
      </c>
    </row>
    <row r="107" spans="2:3" ht="13.5">
      <c r="B107" s="9">
        <f t="shared" si="1"/>
        <v>103</v>
      </c>
      <c r="C107" s="12" t="s">
        <v>832</v>
      </c>
    </row>
    <row r="108" spans="2:3" ht="13.5">
      <c r="B108" s="9">
        <f t="shared" si="1"/>
        <v>104</v>
      </c>
      <c r="C108" s="12" t="s">
        <v>833</v>
      </c>
    </row>
    <row r="109" spans="2:3" ht="13.5">
      <c r="B109" s="9">
        <f t="shared" si="1"/>
        <v>105</v>
      </c>
      <c r="C109" s="12" t="s">
        <v>834</v>
      </c>
    </row>
    <row r="110" spans="2:3" ht="13.5">
      <c r="B110" s="9">
        <f t="shared" si="1"/>
        <v>106</v>
      </c>
      <c r="C110" s="13" t="s">
        <v>372</v>
      </c>
    </row>
    <row r="111" spans="2:3" ht="13.5">
      <c r="B111" s="9">
        <f t="shared" si="1"/>
        <v>107</v>
      </c>
      <c r="C111" s="13" t="s">
        <v>373</v>
      </c>
    </row>
    <row r="112" spans="2:3" ht="13.5">
      <c r="B112" s="9">
        <f t="shared" si="1"/>
        <v>108</v>
      </c>
      <c r="C112" s="15" t="s">
        <v>374</v>
      </c>
    </row>
    <row r="113" spans="2:3" ht="13.5">
      <c r="B113" s="9">
        <f t="shared" si="1"/>
        <v>109</v>
      </c>
      <c r="C113" s="13" t="s">
        <v>375</v>
      </c>
    </row>
    <row r="114" spans="2:3" ht="13.5">
      <c r="B114" s="9">
        <f t="shared" si="1"/>
        <v>110</v>
      </c>
      <c r="C114" s="13" t="s">
        <v>376</v>
      </c>
    </row>
    <row r="115" spans="2:3" ht="13.5">
      <c r="B115" s="9">
        <f t="shared" si="1"/>
        <v>111</v>
      </c>
      <c r="C115" s="12" t="s">
        <v>835</v>
      </c>
    </row>
    <row r="116" spans="2:3" ht="13.5">
      <c r="B116" s="9">
        <f t="shared" si="1"/>
        <v>112</v>
      </c>
      <c r="C116" s="12" t="s">
        <v>836</v>
      </c>
    </row>
    <row r="117" spans="2:3" ht="13.5">
      <c r="B117" s="9">
        <f t="shared" si="1"/>
        <v>113</v>
      </c>
      <c r="C117" s="12" t="s">
        <v>837</v>
      </c>
    </row>
    <row r="118" spans="2:3" ht="13.5">
      <c r="B118" s="9">
        <f t="shared" si="1"/>
        <v>114</v>
      </c>
      <c r="C118" s="16" t="s">
        <v>377</v>
      </c>
    </row>
    <row r="119" spans="2:3" ht="13.5">
      <c r="B119" s="9">
        <f t="shared" si="1"/>
        <v>115</v>
      </c>
      <c r="C119" s="12" t="s">
        <v>378</v>
      </c>
    </row>
    <row r="120" spans="2:3" ht="13.5">
      <c r="B120" s="9">
        <f t="shared" si="1"/>
        <v>116</v>
      </c>
      <c r="C120" s="12" t="s">
        <v>569</v>
      </c>
    </row>
    <row r="121" spans="2:3" ht="13.5">
      <c r="B121" s="9">
        <f t="shared" si="1"/>
        <v>117</v>
      </c>
      <c r="C121" s="12" t="s">
        <v>277</v>
      </c>
    </row>
    <row r="122" spans="2:3" ht="13.5">
      <c r="B122" s="9">
        <f t="shared" si="1"/>
        <v>118</v>
      </c>
      <c r="C122" s="12" t="s">
        <v>838</v>
      </c>
    </row>
    <row r="123" spans="2:3" ht="13.5">
      <c r="B123" s="9">
        <f t="shared" si="1"/>
        <v>119</v>
      </c>
      <c r="C123" s="12" t="s">
        <v>839</v>
      </c>
    </row>
    <row r="124" spans="2:3" ht="13.5">
      <c r="B124" s="9">
        <f t="shared" si="1"/>
        <v>120</v>
      </c>
      <c r="C124" s="12" t="s">
        <v>379</v>
      </c>
    </row>
    <row r="125" spans="2:3" ht="13.5">
      <c r="B125" s="9">
        <f t="shared" si="1"/>
        <v>121</v>
      </c>
      <c r="C125" s="12" t="s">
        <v>278</v>
      </c>
    </row>
    <row r="126" spans="2:3" ht="13.5">
      <c r="B126" s="9">
        <f t="shared" si="1"/>
        <v>122</v>
      </c>
      <c r="C126" s="12" t="s">
        <v>279</v>
      </c>
    </row>
    <row r="127" spans="2:3" ht="13.5">
      <c r="B127" s="9">
        <f t="shared" si="1"/>
        <v>123</v>
      </c>
      <c r="C127" s="12" t="s">
        <v>280</v>
      </c>
    </row>
    <row r="128" spans="2:3" ht="13.5">
      <c r="B128" s="9">
        <f t="shared" si="1"/>
        <v>124</v>
      </c>
      <c r="C128" s="12" t="s">
        <v>380</v>
      </c>
    </row>
    <row r="129" spans="2:3" ht="13.5">
      <c r="B129" s="9">
        <f t="shared" si="1"/>
        <v>125</v>
      </c>
      <c r="C129" s="12" t="s">
        <v>840</v>
      </c>
    </row>
    <row r="130" spans="2:3" ht="13.5">
      <c r="B130" s="9">
        <f t="shared" si="1"/>
        <v>126</v>
      </c>
      <c r="C130" s="12" t="s">
        <v>841</v>
      </c>
    </row>
    <row r="131" spans="2:3" ht="13.5">
      <c r="B131" s="9">
        <f t="shared" si="1"/>
        <v>127</v>
      </c>
      <c r="C131" s="12" t="s">
        <v>381</v>
      </c>
    </row>
    <row r="132" spans="2:3" ht="13.5">
      <c r="B132" s="9">
        <f t="shared" si="1"/>
        <v>128</v>
      </c>
      <c r="C132" s="12" t="s">
        <v>382</v>
      </c>
    </row>
    <row r="133" spans="2:3" ht="13.5">
      <c r="B133" s="9">
        <f t="shared" si="1"/>
        <v>129</v>
      </c>
      <c r="C133" s="12" t="s">
        <v>842</v>
      </c>
    </row>
    <row r="134" spans="2:3" ht="13.5">
      <c r="B134" s="9">
        <f t="shared" si="1"/>
        <v>130</v>
      </c>
      <c r="C134" s="13" t="s">
        <v>568</v>
      </c>
    </row>
    <row r="135" spans="2:3" ht="13.5">
      <c r="B135" s="9">
        <f aca="true" t="shared" si="2" ref="B135:B198">B134+1</f>
        <v>131</v>
      </c>
      <c r="C135" s="12" t="s">
        <v>383</v>
      </c>
    </row>
    <row r="136" spans="2:3" ht="13.5">
      <c r="B136" s="9">
        <f t="shared" si="2"/>
        <v>132</v>
      </c>
      <c r="C136" s="12" t="s">
        <v>281</v>
      </c>
    </row>
    <row r="137" spans="2:3" ht="13.5">
      <c r="B137" s="9">
        <f t="shared" si="2"/>
        <v>133</v>
      </c>
      <c r="C137" s="12" t="s">
        <v>843</v>
      </c>
    </row>
    <row r="138" spans="2:3" ht="13.5">
      <c r="B138" s="9">
        <f t="shared" si="2"/>
        <v>134</v>
      </c>
      <c r="C138" s="12" t="s">
        <v>384</v>
      </c>
    </row>
    <row r="139" spans="2:3" ht="13.5">
      <c r="B139" s="9">
        <f t="shared" si="2"/>
        <v>135</v>
      </c>
      <c r="C139" s="12" t="s">
        <v>844</v>
      </c>
    </row>
    <row r="140" spans="2:3" ht="13.5">
      <c r="B140" s="9">
        <f t="shared" si="2"/>
        <v>136</v>
      </c>
      <c r="C140" s="12" t="s">
        <v>845</v>
      </c>
    </row>
    <row r="141" spans="2:3" ht="13.5">
      <c r="B141" s="9">
        <f t="shared" si="2"/>
        <v>137</v>
      </c>
      <c r="C141" s="12" t="s">
        <v>385</v>
      </c>
    </row>
    <row r="142" spans="2:3" ht="13.5">
      <c r="B142" s="9">
        <f t="shared" si="2"/>
        <v>138</v>
      </c>
      <c r="C142" s="12" t="s">
        <v>570</v>
      </c>
    </row>
    <row r="143" spans="2:3" ht="13.5">
      <c r="B143" s="9">
        <f t="shared" si="2"/>
        <v>139</v>
      </c>
      <c r="C143" s="12" t="s">
        <v>846</v>
      </c>
    </row>
    <row r="144" spans="2:3" ht="13.5">
      <c r="B144" s="9">
        <f t="shared" si="2"/>
        <v>140</v>
      </c>
      <c r="C144" s="12" t="s">
        <v>847</v>
      </c>
    </row>
    <row r="145" spans="2:3" ht="13.5">
      <c r="B145" s="9">
        <f t="shared" si="2"/>
        <v>141</v>
      </c>
      <c r="C145" s="12" t="s">
        <v>282</v>
      </c>
    </row>
    <row r="146" spans="2:3" ht="13.5">
      <c r="B146" s="9">
        <f t="shared" si="2"/>
        <v>142</v>
      </c>
      <c r="C146" s="12" t="s">
        <v>386</v>
      </c>
    </row>
    <row r="147" spans="2:3" ht="13.5">
      <c r="B147" s="9">
        <f t="shared" si="2"/>
        <v>143</v>
      </c>
      <c r="C147" s="12" t="s">
        <v>848</v>
      </c>
    </row>
    <row r="148" spans="2:3" ht="13.5">
      <c r="B148" s="9">
        <f t="shared" si="2"/>
        <v>144</v>
      </c>
      <c r="C148" s="12" t="s">
        <v>849</v>
      </c>
    </row>
    <row r="149" spans="2:3" ht="13.5">
      <c r="B149" s="9">
        <f t="shared" si="2"/>
        <v>145</v>
      </c>
      <c r="C149" s="12" t="s">
        <v>387</v>
      </c>
    </row>
    <row r="150" spans="2:3" ht="13.5">
      <c r="B150" s="9">
        <f t="shared" si="2"/>
        <v>146</v>
      </c>
      <c r="C150" s="12" t="s">
        <v>388</v>
      </c>
    </row>
    <row r="151" spans="2:3" ht="13.5">
      <c r="B151" s="9">
        <f t="shared" si="2"/>
        <v>147</v>
      </c>
      <c r="C151" s="12" t="s">
        <v>389</v>
      </c>
    </row>
    <row r="152" spans="2:3" ht="13.5">
      <c r="B152" s="9">
        <f t="shared" si="2"/>
        <v>148</v>
      </c>
      <c r="C152" s="12" t="s">
        <v>390</v>
      </c>
    </row>
    <row r="153" spans="2:3" ht="13.5">
      <c r="B153" s="9">
        <f t="shared" si="2"/>
        <v>149</v>
      </c>
      <c r="C153" s="12" t="s">
        <v>850</v>
      </c>
    </row>
    <row r="154" spans="2:3" ht="13.5">
      <c r="B154" s="9">
        <f t="shared" si="2"/>
        <v>150</v>
      </c>
      <c r="C154" s="12" t="s">
        <v>851</v>
      </c>
    </row>
    <row r="155" spans="2:3" ht="13.5">
      <c r="B155" s="9">
        <f t="shared" si="2"/>
        <v>151</v>
      </c>
      <c r="C155" s="12" t="s">
        <v>852</v>
      </c>
    </row>
    <row r="156" spans="2:3" ht="13.5">
      <c r="B156" s="9">
        <f t="shared" si="2"/>
        <v>152</v>
      </c>
      <c r="C156" s="12" t="s">
        <v>571</v>
      </c>
    </row>
    <row r="157" spans="2:3" ht="13.5">
      <c r="B157" s="9">
        <f t="shared" si="2"/>
        <v>153</v>
      </c>
      <c r="C157" s="12" t="s">
        <v>853</v>
      </c>
    </row>
    <row r="158" spans="2:3" ht="13.5">
      <c r="B158" s="9">
        <f t="shared" si="2"/>
        <v>154</v>
      </c>
      <c r="C158" s="12" t="s">
        <v>391</v>
      </c>
    </row>
    <row r="159" spans="2:3" ht="13.5">
      <c r="B159" s="9">
        <f t="shared" si="2"/>
        <v>155</v>
      </c>
      <c r="C159" s="12" t="s">
        <v>392</v>
      </c>
    </row>
    <row r="160" spans="2:3" ht="13.5">
      <c r="B160" s="9">
        <f t="shared" si="2"/>
        <v>156</v>
      </c>
      <c r="C160" s="12" t="s">
        <v>393</v>
      </c>
    </row>
    <row r="161" spans="2:3" ht="13.5">
      <c r="B161" s="9">
        <f t="shared" si="2"/>
        <v>157</v>
      </c>
      <c r="C161" s="12" t="s">
        <v>854</v>
      </c>
    </row>
    <row r="162" spans="2:3" ht="13.5">
      <c r="B162" s="9">
        <f t="shared" si="2"/>
        <v>158</v>
      </c>
      <c r="C162" s="12" t="s">
        <v>572</v>
      </c>
    </row>
    <row r="163" spans="2:3" ht="13.5">
      <c r="B163" s="9">
        <f t="shared" si="2"/>
        <v>159</v>
      </c>
      <c r="C163" s="12" t="s">
        <v>855</v>
      </c>
    </row>
    <row r="164" spans="2:3" ht="13.5">
      <c r="B164" s="9">
        <f t="shared" si="2"/>
        <v>160</v>
      </c>
      <c r="C164" s="12" t="s">
        <v>856</v>
      </c>
    </row>
    <row r="165" spans="2:3" ht="13.5">
      <c r="B165" s="9">
        <f t="shared" si="2"/>
        <v>161</v>
      </c>
      <c r="C165" s="12" t="s">
        <v>283</v>
      </c>
    </row>
    <row r="166" spans="2:3" ht="13.5">
      <c r="B166" s="9">
        <f t="shared" si="2"/>
        <v>162</v>
      </c>
      <c r="C166" s="12" t="s">
        <v>284</v>
      </c>
    </row>
    <row r="167" spans="2:3" ht="13.5">
      <c r="B167" s="9">
        <f t="shared" si="2"/>
        <v>163</v>
      </c>
      <c r="C167" s="12" t="s">
        <v>573</v>
      </c>
    </row>
    <row r="168" spans="2:3" ht="13.5">
      <c r="B168" s="9">
        <f t="shared" si="2"/>
        <v>164</v>
      </c>
      <c r="C168" s="12" t="s">
        <v>857</v>
      </c>
    </row>
    <row r="169" spans="2:3" ht="13.5">
      <c r="B169" s="9">
        <f t="shared" si="2"/>
        <v>165</v>
      </c>
      <c r="C169" s="12" t="s">
        <v>858</v>
      </c>
    </row>
    <row r="170" spans="2:3" ht="13.5">
      <c r="B170" s="9">
        <f t="shared" si="2"/>
        <v>166</v>
      </c>
      <c r="C170" s="12" t="s">
        <v>574</v>
      </c>
    </row>
    <row r="171" spans="2:3" ht="13.5">
      <c r="B171" s="9">
        <f t="shared" si="2"/>
        <v>167</v>
      </c>
      <c r="C171" s="12" t="s">
        <v>859</v>
      </c>
    </row>
    <row r="172" spans="2:3" ht="13.5">
      <c r="B172" s="9">
        <f t="shared" si="2"/>
        <v>168</v>
      </c>
      <c r="C172" s="12" t="s">
        <v>860</v>
      </c>
    </row>
    <row r="173" spans="2:3" ht="13.5">
      <c r="B173" s="9">
        <f t="shared" si="2"/>
        <v>169</v>
      </c>
      <c r="C173" s="12" t="s">
        <v>394</v>
      </c>
    </row>
    <row r="174" spans="2:3" ht="13.5">
      <c r="B174" s="9">
        <f t="shared" si="2"/>
        <v>170</v>
      </c>
      <c r="C174" s="12" t="s">
        <v>395</v>
      </c>
    </row>
    <row r="175" spans="2:3" ht="13.5">
      <c r="B175" s="9">
        <f t="shared" si="2"/>
        <v>171</v>
      </c>
      <c r="C175" s="12" t="s">
        <v>396</v>
      </c>
    </row>
    <row r="176" spans="2:3" ht="13.5">
      <c r="B176" s="9">
        <f t="shared" si="2"/>
        <v>172</v>
      </c>
      <c r="C176" s="12" t="s">
        <v>861</v>
      </c>
    </row>
    <row r="177" spans="2:3" ht="13.5">
      <c r="B177" s="9">
        <f t="shared" si="2"/>
        <v>173</v>
      </c>
      <c r="C177" s="12" t="s">
        <v>397</v>
      </c>
    </row>
    <row r="178" spans="2:3" ht="13.5">
      <c r="B178" s="9">
        <f t="shared" si="2"/>
        <v>174</v>
      </c>
      <c r="C178" s="12" t="s">
        <v>398</v>
      </c>
    </row>
    <row r="179" spans="2:3" ht="13.5">
      <c r="B179" s="9">
        <f t="shared" si="2"/>
        <v>175</v>
      </c>
      <c r="C179" s="12" t="s">
        <v>862</v>
      </c>
    </row>
    <row r="180" spans="2:3" ht="13.5">
      <c r="B180" s="9">
        <f t="shared" si="2"/>
        <v>176</v>
      </c>
      <c r="C180" s="12" t="s">
        <v>399</v>
      </c>
    </row>
    <row r="181" spans="2:3" ht="13.5">
      <c r="B181" s="9">
        <f t="shared" si="2"/>
        <v>177</v>
      </c>
      <c r="C181" s="12" t="s">
        <v>575</v>
      </c>
    </row>
    <row r="182" spans="2:3" ht="13.5">
      <c r="B182" s="9">
        <f t="shared" si="2"/>
        <v>178</v>
      </c>
      <c r="C182" s="12" t="s">
        <v>863</v>
      </c>
    </row>
    <row r="183" spans="2:3" ht="13.5">
      <c r="B183" s="9">
        <f t="shared" si="2"/>
        <v>179</v>
      </c>
      <c r="C183" s="12" t="s">
        <v>864</v>
      </c>
    </row>
    <row r="184" spans="2:3" ht="13.5">
      <c r="B184" s="9">
        <f t="shared" si="2"/>
        <v>180</v>
      </c>
      <c r="C184" s="12" t="s">
        <v>400</v>
      </c>
    </row>
    <row r="185" spans="2:3" ht="13.5">
      <c r="B185" s="9">
        <f t="shared" si="2"/>
        <v>181</v>
      </c>
      <c r="C185" s="12" t="s">
        <v>865</v>
      </c>
    </row>
    <row r="186" spans="2:3" ht="13.5">
      <c r="B186" s="9">
        <f t="shared" si="2"/>
        <v>182</v>
      </c>
      <c r="C186" s="12" t="s">
        <v>576</v>
      </c>
    </row>
    <row r="187" spans="2:3" ht="13.5">
      <c r="B187" s="9">
        <f t="shared" si="2"/>
        <v>183</v>
      </c>
      <c r="C187" s="12" t="s">
        <v>401</v>
      </c>
    </row>
    <row r="188" spans="2:3" ht="13.5">
      <c r="B188" s="9">
        <f t="shared" si="2"/>
        <v>184</v>
      </c>
      <c r="C188" s="12" t="s">
        <v>866</v>
      </c>
    </row>
    <row r="189" spans="2:3" ht="13.5">
      <c r="B189" s="9">
        <f t="shared" si="2"/>
        <v>185</v>
      </c>
      <c r="C189" s="12" t="s">
        <v>402</v>
      </c>
    </row>
    <row r="190" spans="2:3" ht="13.5">
      <c r="B190" s="9">
        <f t="shared" si="2"/>
        <v>186</v>
      </c>
      <c r="C190" s="12" t="s">
        <v>867</v>
      </c>
    </row>
    <row r="191" spans="2:3" ht="13.5">
      <c r="B191" s="9">
        <f t="shared" si="2"/>
        <v>187</v>
      </c>
      <c r="C191" s="12" t="s">
        <v>403</v>
      </c>
    </row>
    <row r="192" spans="2:3" ht="13.5">
      <c r="B192" s="9">
        <f t="shared" si="2"/>
        <v>188</v>
      </c>
      <c r="C192" s="12" t="s">
        <v>868</v>
      </c>
    </row>
    <row r="193" spans="2:3" ht="13.5">
      <c r="B193" s="9">
        <f t="shared" si="2"/>
        <v>189</v>
      </c>
      <c r="C193" s="12" t="s">
        <v>578</v>
      </c>
    </row>
    <row r="194" spans="2:3" ht="13.5">
      <c r="B194" s="9">
        <f t="shared" si="2"/>
        <v>190</v>
      </c>
      <c r="C194" s="12" t="s">
        <v>404</v>
      </c>
    </row>
    <row r="195" spans="2:3" ht="13.5">
      <c r="B195" s="9">
        <f t="shared" si="2"/>
        <v>191</v>
      </c>
      <c r="C195" s="12" t="s">
        <v>577</v>
      </c>
    </row>
    <row r="196" spans="2:3" ht="13.5">
      <c r="B196" s="9">
        <f t="shared" si="2"/>
        <v>192</v>
      </c>
      <c r="C196" s="12" t="s">
        <v>869</v>
      </c>
    </row>
    <row r="197" spans="2:3" ht="13.5">
      <c r="B197" s="9">
        <f t="shared" si="2"/>
        <v>193</v>
      </c>
      <c r="C197" s="12" t="s">
        <v>285</v>
      </c>
    </row>
    <row r="198" spans="2:3" ht="13.5">
      <c r="B198" s="9">
        <f t="shared" si="2"/>
        <v>194</v>
      </c>
      <c r="C198" s="12" t="s">
        <v>870</v>
      </c>
    </row>
    <row r="199" spans="2:3" ht="13.5">
      <c r="B199" s="9">
        <f aca="true" t="shared" si="3" ref="B199:B262">B198+1</f>
        <v>195</v>
      </c>
      <c r="C199" s="12" t="s">
        <v>872</v>
      </c>
    </row>
    <row r="200" spans="2:3" ht="13.5">
      <c r="B200" s="9">
        <f t="shared" si="3"/>
        <v>196</v>
      </c>
      <c r="C200" s="12" t="s">
        <v>405</v>
      </c>
    </row>
    <row r="201" spans="2:3" ht="13.5">
      <c r="B201" s="9">
        <f t="shared" si="3"/>
        <v>197</v>
      </c>
      <c r="C201" s="12" t="s">
        <v>286</v>
      </c>
    </row>
    <row r="202" spans="2:3" ht="13.5">
      <c r="B202" s="9">
        <f t="shared" si="3"/>
        <v>198</v>
      </c>
      <c r="C202" s="12" t="s">
        <v>406</v>
      </c>
    </row>
    <row r="203" spans="2:3" ht="13.5">
      <c r="B203" s="9">
        <f t="shared" si="3"/>
        <v>199</v>
      </c>
      <c r="C203" s="12" t="s">
        <v>871</v>
      </c>
    </row>
    <row r="204" spans="2:3" ht="13.5">
      <c r="B204" s="9">
        <f t="shared" si="3"/>
        <v>200</v>
      </c>
      <c r="C204" s="12" t="s">
        <v>407</v>
      </c>
    </row>
    <row r="205" spans="2:3" ht="13.5">
      <c r="B205" s="9">
        <f t="shared" si="3"/>
        <v>201</v>
      </c>
      <c r="C205" s="12" t="s">
        <v>579</v>
      </c>
    </row>
    <row r="206" spans="2:3" ht="13.5">
      <c r="B206" s="9">
        <f t="shared" si="3"/>
        <v>202</v>
      </c>
      <c r="C206" s="12" t="s">
        <v>873</v>
      </c>
    </row>
    <row r="207" spans="2:3" ht="13.5">
      <c r="B207" s="9">
        <f t="shared" si="3"/>
        <v>203</v>
      </c>
      <c r="C207" s="12" t="s">
        <v>874</v>
      </c>
    </row>
    <row r="208" spans="2:3" ht="13.5">
      <c r="B208" s="9">
        <f t="shared" si="3"/>
        <v>204</v>
      </c>
      <c r="C208" s="12" t="s">
        <v>875</v>
      </c>
    </row>
    <row r="209" spans="2:3" ht="13.5">
      <c r="B209" s="9">
        <f t="shared" si="3"/>
        <v>205</v>
      </c>
      <c r="C209" s="12" t="s">
        <v>876</v>
      </c>
    </row>
    <row r="210" spans="2:3" ht="13.5">
      <c r="B210" s="9">
        <f t="shared" si="3"/>
        <v>206</v>
      </c>
      <c r="C210" s="12" t="s">
        <v>877</v>
      </c>
    </row>
    <row r="211" spans="2:3" ht="13.5">
      <c r="B211" s="9">
        <f t="shared" si="3"/>
        <v>207</v>
      </c>
      <c r="C211" s="12" t="s">
        <v>580</v>
      </c>
    </row>
    <row r="212" spans="2:3" ht="13.5">
      <c r="B212" s="9">
        <f t="shared" si="3"/>
        <v>208</v>
      </c>
      <c r="C212" s="12" t="s">
        <v>878</v>
      </c>
    </row>
    <row r="213" spans="2:3" ht="13.5">
      <c r="B213" s="9">
        <f t="shared" si="3"/>
        <v>209</v>
      </c>
      <c r="C213" s="12" t="s">
        <v>882</v>
      </c>
    </row>
    <row r="214" spans="2:3" ht="13.5">
      <c r="B214" s="9">
        <f t="shared" si="3"/>
        <v>210</v>
      </c>
      <c r="C214" s="12" t="s">
        <v>408</v>
      </c>
    </row>
    <row r="215" spans="2:3" ht="13.5">
      <c r="B215" s="9">
        <f t="shared" si="3"/>
        <v>211</v>
      </c>
      <c r="C215" s="12" t="s">
        <v>409</v>
      </c>
    </row>
    <row r="216" spans="2:3" ht="13.5">
      <c r="B216" s="9">
        <f t="shared" si="3"/>
        <v>212</v>
      </c>
      <c r="C216" s="12" t="s">
        <v>410</v>
      </c>
    </row>
    <row r="217" spans="2:3" ht="13.5">
      <c r="B217" s="9">
        <f t="shared" si="3"/>
        <v>213</v>
      </c>
      <c r="C217" s="12" t="s">
        <v>883</v>
      </c>
    </row>
    <row r="218" spans="2:3" ht="13.5">
      <c r="B218" s="9">
        <f t="shared" si="3"/>
        <v>214</v>
      </c>
      <c r="C218" s="12" t="s">
        <v>287</v>
      </c>
    </row>
    <row r="219" spans="2:3" ht="13.5">
      <c r="B219" s="9">
        <f t="shared" si="3"/>
        <v>215</v>
      </c>
      <c r="C219" s="12" t="s">
        <v>411</v>
      </c>
    </row>
    <row r="220" spans="2:3" ht="13.5">
      <c r="B220" s="9">
        <f t="shared" si="3"/>
        <v>216</v>
      </c>
      <c r="C220" s="12" t="s">
        <v>412</v>
      </c>
    </row>
    <row r="221" spans="2:3" ht="13.5">
      <c r="B221" s="9">
        <f t="shared" si="3"/>
        <v>217</v>
      </c>
      <c r="C221" s="12" t="s">
        <v>288</v>
      </c>
    </row>
    <row r="222" spans="2:3" ht="13.5">
      <c r="B222" s="9">
        <f t="shared" si="3"/>
        <v>218</v>
      </c>
      <c r="C222" s="12" t="s">
        <v>581</v>
      </c>
    </row>
    <row r="223" spans="2:3" ht="13.5">
      <c r="B223" s="9">
        <f t="shared" si="3"/>
        <v>219</v>
      </c>
      <c r="C223" s="12" t="s">
        <v>582</v>
      </c>
    </row>
    <row r="224" spans="2:3" ht="13.5">
      <c r="B224" s="9">
        <f t="shared" si="3"/>
        <v>220</v>
      </c>
      <c r="C224" s="12" t="s">
        <v>884</v>
      </c>
    </row>
    <row r="225" spans="2:3" ht="13.5">
      <c r="B225" s="9">
        <f t="shared" si="3"/>
        <v>221</v>
      </c>
      <c r="C225" s="12" t="s">
        <v>583</v>
      </c>
    </row>
    <row r="226" spans="2:3" ht="13.5">
      <c r="B226" s="9">
        <f t="shared" si="3"/>
        <v>222</v>
      </c>
      <c r="C226" s="12" t="s">
        <v>418</v>
      </c>
    </row>
    <row r="227" spans="2:3" ht="13.5">
      <c r="B227" s="9">
        <f t="shared" si="3"/>
        <v>223</v>
      </c>
      <c r="C227" s="12" t="s">
        <v>885</v>
      </c>
    </row>
    <row r="228" spans="2:3" ht="13.5">
      <c r="B228" s="9">
        <f t="shared" si="3"/>
        <v>224</v>
      </c>
      <c r="C228" s="12" t="s">
        <v>419</v>
      </c>
    </row>
    <row r="229" spans="2:3" ht="13.5">
      <c r="B229" s="9">
        <f t="shared" si="3"/>
        <v>225</v>
      </c>
      <c r="C229" s="12" t="s">
        <v>584</v>
      </c>
    </row>
    <row r="230" spans="2:3" ht="13.5">
      <c r="B230" s="9">
        <f t="shared" si="3"/>
        <v>226</v>
      </c>
      <c r="C230" s="12" t="s">
        <v>420</v>
      </c>
    </row>
    <row r="231" spans="2:3" ht="13.5">
      <c r="B231" s="9">
        <f t="shared" si="3"/>
        <v>227</v>
      </c>
      <c r="C231" s="12" t="s">
        <v>886</v>
      </c>
    </row>
    <row r="232" spans="2:3" ht="13.5">
      <c r="B232" s="9">
        <f t="shared" si="3"/>
        <v>228</v>
      </c>
      <c r="C232" s="12" t="s">
        <v>585</v>
      </c>
    </row>
    <row r="233" spans="2:3" ht="13.5">
      <c r="B233" s="9">
        <f t="shared" si="3"/>
        <v>229</v>
      </c>
      <c r="C233" s="12" t="s">
        <v>289</v>
      </c>
    </row>
    <row r="234" spans="2:3" ht="13.5">
      <c r="B234" s="9">
        <f t="shared" si="3"/>
        <v>230</v>
      </c>
      <c r="C234" s="12" t="s">
        <v>887</v>
      </c>
    </row>
    <row r="235" spans="2:3" ht="13.5">
      <c r="B235" s="9">
        <f t="shared" si="3"/>
        <v>231</v>
      </c>
      <c r="C235" s="12" t="s">
        <v>888</v>
      </c>
    </row>
    <row r="236" spans="2:3" ht="13.5">
      <c r="B236" s="9">
        <f t="shared" si="3"/>
        <v>232</v>
      </c>
      <c r="C236" s="12" t="s">
        <v>889</v>
      </c>
    </row>
    <row r="237" spans="2:3" ht="13.5">
      <c r="B237" s="9">
        <f t="shared" si="3"/>
        <v>233</v>
      </c>
      <c r="C237" s="12" t="s">
        <v>290</v>
      </c>
    </row>
    <row r="238" spans="2:3" ht="13.5">
      <c r="B238" s="9">
        <f t="shared" si="3"/>
        <v>234</v>
      </c>
      <c r="C238" s="12" t="s">
        <v>421</v>
      </c>
    </row>
    <row r="239" spans="2:3" ht="13.5">
      <c r="B239" s="9">
        <f t="shared" si="3"/>
        <v>235</v>
      </c>
      <c r="C239" s="12" t="s">
        <v>890</v>
      </c>
    </row>
    <row r="240" spans="2:3" ht="13.5">
      <c r="B240" s="9">
        <f t="shared" si="3"/>
        <v>236</v>
      </c>
      <c r="C240" s="12" t="s">
        <v>586</v>
      </c>
    </row>
    <row r="241" spans="2:3" ht="13.5">
      <c r="B241" s="9">
        <f t="shared" si="3"/>
        <v>237</v>
      </c>
      <c r="C241" s="12" t="s">
        <v>291</v>
      </c>
    </row>
    <row r="242" spans="2:3" ht="13.5">
      <c r="B242" s="9">
        <f t="shared" si="3"/>
        <v>238</v>
      </c>
      <c r="C242" s="12" t="s">
        <v>422</v>
      </c>
    </row>
    <row r="243" spans="2:3" ht="13.5">
      <c r="B243" s="9">
        <f t="shared" si="3"/>
        <v>239</v>
      </c>
      <c r="C243" s="12" t="s">
        <v>891</v>
      </c>
    </row>
    <row r="244" spans="2:3" ht="13.5">
      <c r="B244" s="9">
        <f t="shared" si="3"/>
        <v>240</v>
      </c>
      <c r="C244" s="12" t="s">
        <v>892</v>
      </c>
    </row>
    <row r="245" spans="2:3" ht="13.5">
      <c r="B245" s="9">
        <f t="shared" si="3"/>
        <v>241</v>
      </c>
      <c r="C245" s="12" t="s">
        <v>893</v>
      </c>
    </row>
    <row r="246" spans="2:3" ht="13.5">
      <c r="B246" s="9">
        <f t="shared" si="3"/>
        <v>242</v>
      </c>
      <c r="C246" s="12" t="s">
        <v>894</v>
      </c>
    </row>
    <row r="247" spans="2:3" ht="13.5">
      <c r="B247" s="9">
        <f t="shared" si="3"/>
        <v>243</v>
      </c>
      <c r="C247" s="12" t="s">
        <v>895</v>
      </c>
    </row>
    <row r="248" spans="2:3" ht="13.5">
      <c r="B248" s="9">
        <f t="shared" si="3"/>
        <v>244</v>
      </c>
      <c r="C248" s="12" t="s">
        <v>896</v>
      </c>
    </row>
    <row r="249" spans="2:3" ht="13.5">
      <c r="B249" s="9">
        <f t="shared" si="3"/>
        <v>245</v>
      </c>
      <c r="C249" s="12" t="s">
        <v>897</v>
      </c>
    </row>
    <row r="250" spans="2:3" ht="13.5">
      <c r="B250" s="9">
        <f t="shared" si="3"/>
        <v>246</v>
      </c>
      <c r="C250" s="12" t="s">
        <v>898</v>
      </c>
    </row>
    <row r="251" spans="2:3" ht="13.5">
      <c r="B251" s="9">
        <f t="shared" si="3"/>
        <v>247</v>
      </c>
      <c r="C251" s="12" t="s">
        <v>587</v>
      </c>
    </row>
    <row r="252" spans="2:3" ht="13.5">
      <c r="B252" s="9">
        <f t="shared" si="3"/>
        <v>248</v>
      </c>
      <c r="C252" s="12" t="s">
        <v>423</v>
      </c>
    </row>
    <row r="253" spans="2:3" ht="13.5">
      <c r="B253" s="9">
        <f t="shared" si="3"/>
        <v>249</v>
      </c>
      <c r="C253" s="12" t="s">
        <v>588</v>
      </c>
    </row>
    <row r="254" spans="2:3" ht="13.5">
      <c r="B254" s="9">
        <f t="shared" si="3"/>
        <v>250</v>
      </c>
      <c r="C254" s="12" t="s">
        <v>424</v>
      </c>
    </row>
    <row r="255" spans="2:3" ht="13.5">
      <c r="B255" s="9">
        <f t="shared" si="3"/>
        <v>251</v>
      </c>
      <c r="C255" s="12" t="s">
        <v>425</v>
      </c>
    </row>
    <row r="256" spans="2:3" ht="13.5">
      <c r="B256" s="9">
        <f t="shared" si="3"/>
        <v>252</v>
      </c>
      <c r="C256" s="12" t="s">
        <v>899</v>
      </c>
    </row>
    <row r="257" spans="2:3" ht="13.5">
      <c r="B257" s="9">
        <f t="shared" si="3"/>
        <v>253</v>
      </c>
      <c r="C257" s="12" t="s">
        <v>900</v>
      </c>
    </row>
    <row r="258" spans="2:3" ht="13.5">
      <c r="B258" s="9">
        <f t="shared" si="3"/>
        <v>254</v>
      </c>
      <c r="C258" s="12" t="s">
        <v>426</v>
      </c>
    </row>
    <row r="259" spans="2:3" ht="13.5">
      <c r="B259" s="9">
        <f t="shared" si="3"/>
        <v>255</v>
      </c>
      <c r="C259" s="12" t="s">
        <v>427</v>
      </c>
    </row>
    <row r="260" spans="2:3" ht="13.5">
      <c r="B260" s="9">
        <f t="shared" si="3"/>
        <v>256</v>
      </c>
      <c r="C260" s="12" t="s">
        <v>902</v>
      </c>
    </row>
    <row r="261" spans="2:3" ht="13.5">
      <c r="B261" s="9">
        <f t="shared" si="3"/>
        <v>257</v>
      </c>
      <c r="C261" s="12" t="s">
        <v>903</v>
      </c>
    </row>
    <row r="262" spans="2:3" ht="13.5">
      <c r="B262" s="9">
        <f t="shared" si="3"/>
        <v>258</v>
      </c>
      <c r="C262" s="12" t="s">
        <v>428</v>
      </c>
    </row>
    <row r="263" spans="2:3" ht="13.5">
      <c r="B263" s="9">
        <f aca="true" t="shared" si="4" ref="B263:B326">B262+1</f>
        <v>259</v>
      </c>
      <c r="C263" s="12" t="s">
        <v>901</v>
      </c>
    </row>
    <row r="264" spans="2:3" ht="13.5">
      <c r="B264" s="9">
        <f t="shared" si="4"/>
        <v>260</v>
      </c>
      <c r="C264" s="12" t="s">
        <v>904</v>
      </c>
    </row>
    <row r="265" spans="2:3" ht="13.5">
      <c r="B265" s="9">
        <f t="shared" si="4"/>
        <v>261</v>
      </c>
      <c r="C265" s="12" t="s">
        <v>429</v>
      </c>
    </row>
    <row r="266" spans="2:3" ht="13.5">
      <c r="B266" s="9">
        <f t="shared" si="4"/>
        <v>262</v>
      </c>
      <c r="C266" s="12" t="s">
        <v>905</v>
      </c>
    </row>
    <row r="267" spans="2:3" ht="13.5">
      <c r="B267" s="9">
        <f t="shared" si="4"/>
        <v>263</v>
      </c>
      <c r="C267" s="12" t="s">
        <v>589</v>
      </c>
    </row>
    <row r="268" spans="2:3" ht="13.5">
      <c r="B268" s="9">
        <f t="shared" si="4"/>
        <v>264</v>
      </c>
      <c r="C268" s="12" t="s">
        <v>292</v>
      </c>
    </row>
    <row r="269" spans="2:3" ht="13.5">
      <c r="B269" s="9">
        <f t="shared" si="4"/>
        <v>265</v>
      </c>
      <c r="C269" s="12" t="s">
        <v>906</v>
      </c>
    </row>
    <row r="270" spans="2:3" ht="13.5">
      <c r="B270" s="9">
        <f t="shared" si="4"/>
        <v>266</v>
      </c>
      <c r="C270" s="12" t="s">
        <v>907</v>
      </c>
    </row>
    <row r="271" spans="2:3" ht="13.5">
      <c r="B271" s="9">
        <f t="shared" si="4"/>
        <v>267</v>
      </c>
      <c r="C271" s="12" t="s">
        <v>430</v>
      </c>
    </row>
    <row r="272" spans="2:3" ht="13.5">
      <c r="B272" s="9">
        <f t="shared" si="4"/>
        <v>268</v>
      </c>
      <c r="C272" s="12" t="s">
        <v>431</v>
      </c>
    </row>
    <row r="273" spans="2:3" ht="13.5">
      <c r="B273" s="9">
        <f t="shared" si="4"/>
        <v>269</v>
      </c>
      <c r="C273" s="12" t="s">
        <v>908</v>
      </c>
    </row>
    <row r="274" spans="2:3" ht="13.5">
      <c r="B274" s="9">
        <f t="shared" si="4"/>
        <v>270</v>
      </c>
      <c r="C274" s="12" t="s">
        <v>432</v>
      </c>
    </row>
    <row r="275" spans="2:3" ht="13.5">
      <c r="B275" s="9">
        <f t="shared" si="4"/>
        <v>271</v>
      </c>
      <c r="C275" s="12" t="s">
        <v>909</v>
      </c>
    </row>
    <row r="276" spans="2:3" ht="13.5">
      <c r="B276" s="9">
        <f t="shared" si="4"/>
        <v>272</v>
      </c>
      <c r="C276" s="12" t="s">
        <v>590</v>
      </c>
    </row>
    <row r="277" spans="2:3" ht="13.5">
      <c r="B277" s="9">
        <f t="shared" si="4"/>
        <v>273</v>
      </c>
      <c r="C277" s="12" t="s">
        <v>433</v>
      </c>
    </row>
    <row r="278" spans="2:3" ht="13.5">
      <c r="B278" s="9">
        <f t="shared" si="4"/>
        <v>274</v>
      </c>
      <c r="C278" s="12" t="s">
        <v>591</v>
      </c>
    </row>
    <row r="279" spans="2:3" ht="13.5">
      <c r="B279" s="9">
        <f t="shared" si="4"/>
        <v>275</v>
      </c>
      <c r="C279" s="12" t="s">
        <v>434</v>
      </c>
    </row>
    <row r="280" spans="2:3" ht="13.5">
      <c r="B280" s="9">
        <f t="shared" si="4"/>
        <v>276</v>
      </c>
      <c r="C280" s="12" t="s">
        <v>910</v>
      </c>
    </row>
    <row r="281" spans="2:3" ht="13.5">
      <c r="B281" s="9">
        <f t="shared" si="4"/>
        <v>277</v>
      </c>
      <c r="C281" s="12" t="s">
        <v>911</v>
      </c>
    </row>
    <row r="282" spans="2:3" ht="13.5">
      <c r="B282" s="9">
        <f t="shared" si="4"/>
        <v>278</v>
      </c>
      <c r="C282" s="12" t="s">
        <v>592</v>
      </c>
    </row>
    <row r="283" spans="2:3" ht="13.5">
      <c r="B283" s="9">
        <f t="shared" si="4"/>
        <v>279</v>
      </c>
      <c r="C283" s="12" t="s">
        <v>435</v>
      </c>
    </row>
    <row r="284" spans="2:3" ht="13.5">
      <c r="B284" s="9">
        <f t="shared" si="4"/>
        <v>280</v>
      </c>
      <c r="C284" s="12" t="s">
        <v>436</v>
      </c>
    </row>
    <row r="285" spans="2:3" ht="13.5">
      <c r="B285" s="9">
        <f t="shared" si="4"/>
        <v>281</v>
      </c>
      <c r="C285" s="12" t="s">
        <v>437</v>
      </c>
    </row>
    <row r="286" spans="2:3" ht="13.5">
      <c r="B286" s="9">
        <f t="shared" si="4"/>
        <v>282</v>
      </c>
      <c r="C286" s="12" t="s">
        <v>912</v>
      </c>
    </row>
    <row r="287" spans="2:3" ht="13.5">
      <c r="B287" s="9">
        <f t="shared" si="4"/>
        <v>283</v>
      </c>
      <c r="C287" s="12" t="s">
        <v>438</v>
      </c>
    </row>
    <row r="288" spans="2:3" ht="13.5">
      <c r="B288" s="9">
        <f t="shared" si="4"/>
        <v>284</v>
      </c>
      <c r="C288" s="12" t="s">
        <v>913</v>
      </c>
    </row>
    <row r="289" spans="2:3" ht="13.5">
      <c r="B289" s="9">
        <f t="shared" si="4"/>
        <v>285</v>
      </c>
      <c r="C289" s="12" t="s">
        <v>439</v>
      </c>
    </row>
    <row r="290" spans="2:3" ht="13.5">
      <c r="B290" s="9">
        <f t="shared" si="4"/>
        <v>286</v>
      </c>
      <c r="C290" s="12" t="s">
        <v>914</v>
      </c>
    </row>
    <row r="291" spans="2:3" ht="13.5">
      <c r="B291" s="9">
        <f t="shared" si="4"/>
        <v>287</v>
      </c>
      <c r="C291" s="12" t="s">
        <v>915</v>
      </c>
    </row>
    <row r="292" spans="2:3" ht="13.5">
      <c r="B292" s="9">
        <f t="shared" si="4"/>
        <v>288</v>
      </c>
      <c r="C292" s="12" t="s">
        <v>440</v>
      </c>
    </row>
    <row r="293" spans="2:3" ht="13.5">
      <c r="B293" s="9">
        <f t="shared" si="4"/>
        <v>289</v>
      </c>
      <c r="C293" s="12" t="s">
        <v>441</v>
      </c>
    </row>
    <row r="294" spans="2:3" ht="13.5">
      <c r="B294" s="9">
        <f t="shared" si="4"/>
        <v>290</v>
      </c>
      <c r="C294" s="12" t="s">
        <v>916</v>
      </c>
    </row>
    <row r="295" spans="2:3" ht="13.5">
      <c r="B295" s="9">
        <f t="shared" si="4"/>
        <v>291</v>
      </c>
      <c r="C295" s="12" t="s">
        <v>593</v>
      </c>
    </row>
    <row r="296" spans="2:3" ht="13.5">
      <c r="B296" s="9">
        <f t="shared" si="4"/>
        <v>292</v>
      </c>
      <c r="C296" s="12" t="s">
        <v>594</v>
      </c>
    </row>
    <row r="297" spans="2:3" ht="13.5">
      <c r="B297" s="9">
        <f t="shared" si="4"/>
        <v>293</v>
      </c>
      <c r="C297" s="12" t="s">
        <v>917</v>
      </c>
    </row>
    <row r="298" spans="2:3" ht="13.5">
      <c r="B298" s="9">
        <f t="shared" si="4"/>
        <v>294</v>
      </c>
      <c r="C298" s="12" t="s">
        <v>595</v>
      </c>
    </row>
    <row r="299" spans="2:3" ht="13.5">
      <c r="B299" s="9">
        <f t="shared" si="4"/>
        <v>295</v>
      </c>
      <c r="C299" s="12" t="s">
        <v>596</v>
      </c>
    </row>
    <row r="300" spans="2:3" ht="13.5">
      <c r="B300" s="9">
        <f t="shared" si="4"/>
        <v>296</v>
      </c>
      <c r="C300" s="12" t="s">
        <v>442</v>
      </c>
    </row>
    <row r="301" spans="2:3" ht="13.5">
      <c r="B301" s="9">
        <f t="shared" si="4"/>
        <v>297</v>
      </c>
      <c r="C301" s="12" t="s">
        <v>918</v>
      </c>
    </row>
    <row r="302" spans="2:3" ht="13.5">
      <c r="B302" s="9">
        <f t="shared" si="4"/>
        <v>298</v>
      </c>
      <c r="C302" s="12" t="s">
        <v>919</v>
      </c>
    </row>
    <row r="303" spans="2:3" ht="13.5">
      <c r="B303" s="9">
        <f t="shared" si="4"/>
        <v>299</v>
      </c>
      <c r="C303" s="12" t="s">
        <v>933</v>
      </c>
    </row>
    <row r="304" spans="2:3" ht="13.5">
      <c r="B304" s="9">
        <f t="shared" si="4"/>
        <v>300</v>
      </c>
      <c r="C304" s="12" t="s">
        <v>599</v>
      </c>
    </row>
    <row r="305" spans="2:3" ht="13.5">
      <c r="B305" s="9">
        <f t="shared" si="4"/>
        <v>301</v>
      </c>
      <c r="C305" s="12" t="s">
        <v>443</v>
      </c>
    </row>
    <row r="306" spans="2:3" ht="13.5">
      <c r="B306" s="9">
        <f t="shared" si="4"/>
        <v>302</v>
      </c>
      <c r="C306" s="12" t="s">
        <v>600</v>
      </c>
    </row>
    <row r="307" spans="2:3" ht="13.5">
      <c r="B307" s="9">
        <f t="shared" si="4"/>
        <v>303</v>
      </c>
      <c r="C307" s="12" t="s">
        <v>601</v>
      </c>
    </row>
    <row r="308" spans="2:3" ht="13.5">
      <c r="B308" s="9">
        <f t="shared" si="4"/>
        <v>304</v>
      </c>
      <c r="C308" s="12" t="s">
        <v>293</v>
      </c>
    </row>
    <row r="309" spans="2:3" ht="13.5">
      <c r="B309" s="9">
        <f t="shared" si="4"/>
        <v>305</v>
      </c>
      <c r="C309" s="12" t="s">
        <v>602</v>
      </c>
    </row>
    <row r="310" spans="2:3" ht="13.5">
      <c r="B310" s="9">
        <f t="shared" si="4"/>
        <v>306</v>
      </c>
      <c r="C310" s="12" t="s">
        <v>603</v>
      </c>
    </row>
    <row r="311" spans="2:3" ht="13.5">
      <c r="B311" s="9">
        <f t="shared" si="4"/>
        <v>307</v>
      </c>
      <c r="C311" s="12" t="s">
        <v>934</v>
      </c>
    </row>
    <row r="312" spans="2:3" ht="13.5">
      <c r="B312" s="9">
        <f t="shared" si="4"/>
        <v>308</v>
      </c>
      <c r="C312" s="12" t="s">
        <v>604</v>
      </c>
    </row>
    <row r="313" spans="2:3" ht="13.5">
      <c r="B313" s="9">
        <f t="shared" si="4"/>
        <v>309</v>
      </c>
      <c r="C313" s="12" t="s">
        <v>935</v>
      </c>
    </row>
    <row r="314" spans="2:3" ht="13.5">
      <c r="B314" s="9">
        <f t="shared" si="4"/>
        <v>310</v>
      </c>
      <c r="C314" s="12" t="s">
        <v>312</v>
      </c>
    </row>
    <row r="315" spans="2:3" ht="13.5">
      <c r="B315" s="9">
        <f t="shared" si="4"/>
        <v>311</v>
      </c>
      <c r="C315" s="12" t="s">
        <v>937</v>
      </c>
    </row>
    <row r="316" spans="2:3" ht="13.5">
      <c r="B316" s="9">
        <f t="shared" si="4"/>
        <v>312</v>
      </c>
      <c r="C316" s="12" t="s">
        <v>936</v>
      </c>
    </row>
    <row r="317" spans="2:3" ht="13.5">
      <c r="B317" s="9">
        <f t="shared" si="4"/>
        <v>313</v>
      </c>
      <c r="C317" s="12" t="s">
        <v>938</v>
      </c>
    </row>
    <row r="318" spans="2:3" ht="13.5">
      <c r="B318" s="9">
        <f t="shared" si="4"/>
        <v>314</v>
      </c>
      <c r="C318" s="12" t="s">
        <v>446</v>
      </c>
    </row>
    <row r="319" spans="2:3" ht="13.5">
      <c r="B319" s="9">
        <f t="shared" si="4"/>
        <v>315</v>
      </c>
      <c r="C319" s="12" t="s">
        <v>939</v>
      </c>
    </row>
    <row r="320" spans="2:3" ht="13.5">
      <c r="B320" s="9">
        <f t="shared" si="4"/>
        <v>316</v>
      </c>
      <c r="C320" s="12" t="s">
        <v>447</v>
      </c>
    </row>
    <row r="321" spans="2:3" ht="13.5">
      <c r="B321" s="9">
        <f t="shared" si="4"/>
        <v>317</v>
      </c>
      <c r="C321" s="12" t="s">
        <v>313</v>
      </c>
    </row>
    <row r="322" spans="2:3" ht="13.5">
      <c r="B322" s="9">
        <f t="shared" si="4"/>
        <v>318</v>
      </c>
      <c r="C322" s="12" t="s">
        <v>314</v>
      </c>
    </row>
    <row r="323" spans="2:3" ht="13.5">
      <c r="B323" s="9">
        <f t="shared" si="4"/>
        <v>319</v>
      </c>
      <c r="C323" s="12" t="s">
        <v>940</v>
      </c>
    </row>
    <row r="324" spans="2:3" ht="13.5">
      <c r="B324" s="9">
        <f t="shared" si="4"/>
        <v>320</v>
      </c>
      <c r="C324" s="12" t="s">
        <v>448</v>
      </c>
    </row>
    <row r="325" spans="2:3" ht="13.5">
      <c r="B325" s="9">
        <f t="shared" si="4"/>
        <v>321</v>
      </c>
      <c r="C325" s="12" t="s">
        <v>941</v>
      </c>
    </row>
    <row r="326" spans="2:3" ht="13.5">
      <c r="B326" s="9">
        <f t="shared" si="4"/>
        <v>322</v>
      </c>
      <c r="C326" s="12" t="s">
        <v>942</v>
      </c>
    </row>
    <row r="327" spans="2:3" ht="13.5">
      <c r="B327" s="9">
        <f aca="true" t="shared" si="5" ref="B327:B390">B326+1</f>
        <v>323</v>
      </c>
      <c r="C327" s="12" t="s">
        <v>943</v>
      </c>
    </row>
    <row r="328" spans="2:3" ht="13.5">
      <c r="B328" s="9">
        <f t="shared" si="5"/>
        <v>324</v>
      </c>
      <c r="C328" s="12" t="s">
        <v>944</v>
      </c>
    </row>
    <row r="329" spans="2:3" ht="13.5">
      <c r="B329" s="9">
        <f t="shared" si="5"/>
        <v>325</v>
      </c>
      <c r="C329" s="12" t="s">
        <v>605</v>
      </c>
    </row>
    <row r="330" spans="2:3" ht="13.5">
      <c r="B330" s="9">
        <f t="shared" si="5"/>
        <v>326</v>
      </c>
      <c r="C330" s="12" t="s">
        <v>945</v>
      </c>
    </row>
    <row r="331" spans="2:3" ht="13.5">
      <c r="B331" s="9">
        <f t="shared" si="5"/>
        <v>327</v>
      </c>
      <c r="C331" s="12" t="s">
        <v>946</v>
      </c>
    </row>
    <row r="332" spans="2:3" ht="13.5">
      <c r="B332" s="9">
        <f t="shared" si="5"/>
        <v>328</v>
      </c>
      <c r="C332" s="12" t="s">
        <v>449</v>
      </c>
    </row>
    <row r="333" spans="2:3" ht="13.5">
      <c r="B333" s="9">
        <f t="shared" si="5"/>
        <v>329</v>
      </c>
      <c r="C333" s="12" t="s">
        <v>299</v>
      </c>
    </row>
    <row r="334" spans="2:3" ht="13.5">
      <c r="B334" s="9">
        <f t="shared" si="5"/>
        <v>330</v>
      </c>
      <c r="C334" s="12" t="s">
        <v>450</v>
      </c>
    </row>
    <row r="335" spans="2:3" ht="13.5">
      <c r="B335" s="9">
        <f t="shared" si="5"/>
        <v>331</v>
      </c>
      <c r="C335" s="12" t="s">
        <v>947</v>
      </c>
    </row>
    <row r="336" spans="2:3" ht="13.5">
      <c r="B336" s="9">
        <f t="shared" si="5"/>
        <v>332</v>
      </c>
      <c r="C336" s="12" t="s">
        <v>451</v>
      </c>
    </row>
    <row r="337" spans="2:3" ht="13.5">
      <c r="B337" s="9">
        <f t="shared" si="5"/>
        <v>333</v>
      </c>
      <c r="C337" s="12" t="s">
        <v>948</v>
      </c>
    </row>
    <row r="338" spans="2:3" ht="13.5">
      <c r="B338" s="9">
        <f t="shared" si="5"/>
        <v>334</v>
      </c>
      <c r="C338" s="12" t="s">
        <v>949</v>
      </c>
    </row>
    <row r="339" spans="2:3" ht="13.5">
      <c r="B339" s="9">
        <f t="shared" si="5"/>
        <v>335</v>
      </c>
      <c r="C339" s="12" t="s">
        <v>452</v>
      </c>
    </row>
    <row r="340" spans="2:3" ht="13.5">
      <c r="B340" s="9">
        <f t="shared" si="5"/>
        <v>336</v>
      </c>
      <c r="C340" s="12" t="s">
        <v>453</v>
      </c>
    </row>
    <row r="341" spans="2:3" ht="13.5">
      <c r="B341" s="9">
        <f t="shared" si="5"/>
        <v>337</v>
      </c>
      <c r="C341" s="12" t="s">
        <v>454</v>
      </c>
    </row>
    <row r="342" spans="2:3" ht="13.5">
      <c r="B342" s="9">
        <f t="shared" si="5"/>
        <v>338</v>
      </c>
      <c r="C342" s="12" t="s">
        <v>455</v>
      </c>
    </row>
    <row r="343" spans="2:3" ht="13.5">
      <c r="B343" s="9">
        <f t="shared" si="5"/>
        <v>339</v>
      </c>
      <c r="C343" s="12" t="s">
        <v>456</v>
      </c>
    </row>
    <row r="344" spans="2:3" ht="13.5">
      <c r="B344" s="9">
        <f t="shared" si="5"/>
        <v>340</v>
      </c>
      <c r="C344" s="12" t="s">
        <v>607</v>
      </c>
    </row>
    <row r="345" spans="2:3" ht="13.5">
      <c r="B345" s="9">
        <f t="shared" si="5"/>
        <v>341</v>
      </c>
      <c r="C345" s="12" t="s">
        <v>300</v>
      </c>
    </row>
    <row r="346" spans="2:3" ht="13.5">
      <c r="B346" s="9">
        <f t="shared" si="5"/>
        <v>342</v>
      </c>
      <c r="C346" s="12" t="s">
        <v>950</v>
      </c>
    </row>
    <row r="347" spans="2:3" ht="13.5">
      <c r="B347" s="9">
        <f t="shared" si="5"/>
        <v>343</v>
      </c>
      <c r="C347" s="12" t="s">
        <v>315</v>
      </c>
    </row>
    <row r="348" spans="2:3" ht="13.5">
      <c r="B348" s="9">
        <f t="shared" si="5"/>
        <v>344</v>
      </c>
      <c r="C348" s="12" t="s">
        <v>320</v>
      </c>
    </row>
    <row r="349" spans="2:3" ht="13.5">
      <c r="B349" s="9">
        <f t="shared" si="5"/>
        <v>345</v>
      </c>
      <c r="C349" s="12" t="s">
        <v>951</v>
      </c>
    </row>
    <row r="350" spans="2:3" ht="13.5">
      <c r="B350" s="9">
        <f t="shared" si="5"/>
        <v>346</v>
      </c>
      <c r="C350" s="12" t="s">
        <v>952</v>
      </c>
    </row>
    <row r="351" spans="2:3" ht="13.5">
      <c r="B351" s="9">
        <f t="shared" si="5"/>
        <v>347</v>
      </c>
      <c r="C351" s="12" t="s">
        <v>953</v>
      </c>
    </row>
    <row r="352" spans="2:3" ht="13.5">
      <c r="B352" s="9">
        <f t="shared" si="5"/>
        <v>348</v>
      </c>
      <c r="C352" s="12" t="s">
        <v>457</v>
      </c>
    </row>
    <row r="353" spans="2:3" ht="13.5">
      <c r="B353" s="9">
        <f t="shared" si="5"/>
        <v>349</v>
      </c>
      <c r="C353" s="12" t="s">
        <v>321</v>
      </c>
    </row>
    <row r="354" spans="2:3" ht="13.5">
      <c r="B354" s="9">
        <f t="shared" si="5"/>
        <v>350</v>
      </c>
      <c r="C354" s="12" t="s">
        <v>458</v>
      </c>
    </row>
    <row r="355" spans="2:3" ht="13.5">
      <c r="B355" s="9">
        <f t="shared" si="5"/>
        <v>351</v>
      </c>
      <c r="C355" s="12" t="s">
        <v>608</v>
      </c>
    </row>
    <row r="356" spans="2:3" ht="13.5">
      <c r="B356" s="9">
        <f t="shared" si="5"/>
        <v>352</v>
      </c>
      <c r="C356" s="12" t="s">
        <v>954</v>
      </c>
    </row>
    <row r="357" spans="2:3" ht="13.5">
      <c r="B357" s="9">
        <f t="shared" si="5"/>
        <v>353</v>
      </c>
      <c r="C357" s="12" t="s">
        <v>955</v>
      </c>
    </row>
    <row r="358" spans="2:3" ht="13.5">
      <c r="B358" s="9">
        <f t="shared" si="5"/>
        <v>354</v>
      </c>
      <c r="C358" s="12" t="s">
        <v>325</v>
      </c>
    </row>
    <row r="359" spans="2:3" ht="13.5">
      <c r="B359" s="9">
        <f t="shared" si="5"/>
        <v>355</v>
      </c>
      <c r="C359" s="12" t="s">
        <v>459</v>
      </c>
    </row>
    <row r="360" spans="2:3" ht="13.5">
      <c r="B360" s="9">
        <f t="shared" si="5"/>
        <v>356</v>
      </c>
      <c r="C360" s="12" t="s">
        <v>956</v>
      </c>
    </row>
    <row r="361" spans="2:3" ht="13.5">
      <c r="B361" s="9">
        <f t="shared" si="5"/>
        <v>357</v>
      </c>
      <c r="C361" s="12" t="s">
        <v>460</v>
      </c>
    </row>
    <row r="362" spans="2:3" ht="13.5">
      <c r="B362" s="9">
        <f t="shared" si="5"/>
        <v>358</v>
      </c>
      <c r="C362" s="12" t="s">
        <v>461</v>
      </c>
    </row>
    <row r="363" spans="2:3" ht="13.5">
      <c r="B363" s="9">
        <f t="shared" si="5"/>
        <v>359</v>
      </c>
      <c r="C363" s="12" t="s">
        <v>322</v>
      </c>
    </row>
    <row r="364" spans="2:3" ht="13.5">
      <c r="B364" s="9">
        <f t="shared" si="5"/>
        <v>360</v>
      </c>
      <c r="C364" s="12" t="s">
        <v>316</v>
      </c>
    </row>
    <row r="365" spans="2:3" ht="13.5">
      <c r="B365" s="9">
        <f t="shared" si="5"/>
        <v>361</v>
      </c>
      <c r="C365" s="12" t="s">
        <v>462</v>
      </c>
    </row>
    <row r="366" spans="2:3" ht="13.5">
      <c r="B366" s="9">
        <f t="shared" si="5"/>
        <v>362</v>
      </c>
      <c r="C366" s="12" t="s">
        <v>301</v>
      </c>
    </row>
    <row r="367" spans="2:3" ht="13.5">
      <c r="B367" s="9">
        <f t="shared" si="5"/>
        <v>363</v>
      </c>
      <c r="C367" s="12" t="s">
        <v>957</v>
      </c>
    </row>
    <row r="368" spans="2:3" ht="13.5">
      <c r="B368" s="9">
        <f t="shared" si="5"/>
        <v>364</v>
      </c>
      <c r="C368" s="12" t="s">
        <v>958</v>
      </c>
    </row>
    <row r="369" spans="2:3" ht="13.5">
      <c r="B369" s="9">
        <f t="shared" si="5"/>
        <v>365</v>
      </c>
      <c r="C369" s="12" t="s">
        <v>463</v>
      </c>
    </row>
    <row r="370" spans="2:3" ht="13.5">
      <c r="B370" s="9">
        <f t="shared" si="5"/>
        <v>366</v>
      </c>
      <c r="C370" s="12" t="s">
        <v>464</v>
      </c>
    </row>
    <row r="371" spans="2:3" ht="13.5">
      <c r="B371" s="9">
        <f t="shared" si="5"/>
        <v>367</v>
      </c>
      <c r="C371" s="12" t="s">
        <v>465</v>
      </c>
    </row>
    <row r="372" spans="2:3" ht="13.5">
      <c r="B372" s="9">
        <f t="shared" si="5"/>
        <v>368</v>
      </c>
      <c r="C372" s="12" t="s">
        <v>466</v>
      </c>
    </row>
    <row r="373" spans="2:3" ht="13.5">
      <c r="B373" s="9">
        <f t="shared" si="5"/>
        <v>369</v>
      </c>
      <c r="C373" s="12" t="s">
        <v>467</v>
      </c>
    </row>
    <row r="374" spans="2:3" ht="13.5">
      <c r="B374" s="9">
        <f t="shared" si="5"/>
        <v>370</v>
      </c>
      <c r="C374" s="12" t="s">
        <v>326</v>
      </c>
    </row>
    <row r="375" spans="2:3" ht="13.5">
      <c r="B375" s="9">
        <f t="shared" si="5"/>
        <v>371</v>
      </c>
      <c r="C375" s="12" t="s">
        <v>302</v>
      </c>
    </row>
    <row r="376" spans="2:3" ht="13.5">
      <c r="B376" s="9">
        <f t="shared" si="5"/>
        <v>372</v>
      </c>
      <c r="C376" s="12" t="s">
        <v>959</v>
      </c>
    </row>
    <row r="377" spans="2:3" ht="13.5">
      <c r="B377" s="9">
        <f t="shared" si="5"/>
        <v>373</v>
      </c>
      <c r="C377" s="12" t="s">
        <v>468</v>
      </c>
    </row>
    <row r="378" spans="2:3" ht="13.5">
      <c r="B378" s="9">
        <f t="shared" si="5"/>
        <v>374</v>
      </c>
      <c r="C378" s="12" t="s">
        <v>469</v>
      </c>
    </row>
    <row r="379" spans="2:3" ht="13.5">
      <c r="B379" s="9">
        <f t="shared" si="5"/>
        <v>375</v>
      </c>
      <c r="C379" s="12" t="s">
        <v>470</v>
      </c>
    </row>
    <row r="380" spans="2:3" ht="13.5">
      <c r="B380" s="9">
        <f t="shared" si="5"/>
        <v>376</v>
      </c>
      <c r="C380" s="12" t="s">
        <v>471</v>
      </c>
    </row>
    <row r="381" spans="2:3" ht="13.5">
      <c r="B381" s="9">
        <f t="shared" si="5"/>
        <v>377</v>
      </c>
      <c r="C381" s="12" t="s">
        <v>303</v>
      </c>
    </row>
    <row r="382" spans="2:3" ht="13.5">
      <c r="B382" s="9">
        <f t="shared" si="5"/>
        <v>378</v>
      </c>
      <c r="C382" s="12" t="s">
        <v>472</v>
      </c>
    </row>
    <row r="383" spans="2:3" ht="13.5">
      <c r="B383" s="9">
        <f t="shared" si="5"/>
        <v>379</v>
      </c>
      <c r="C383" s="12" t="s">
        <v>961</v>
      </c>
    </row>
    <row r="384" spans="2:3" ht="13.5">
      <c r="B384" s="9">
        <f t="shared" si="5"/>
        <v>380</v>
      </c>
      <c r="C384" s="12" t="s">
        <v>609</v>
      </c>
    </row>
    <row r="385" spans="2:3" ht="13.5">
      <c r="B385" s="9">
        <f t="shared" si="5"/>
        <v>381</v>
      </c>
      <c r="C385" s="12" t="s">
        <v>960</v>
      </c>
    </row>
    <row r="386" spans="2:3" ht="13.5">
      <c r="B386" s="9">
        <f t="shared" si="5"/>
        <v>382</v>
      </c>
      <c r="C386" s="12" t="s">
        <v>473</v>
      </c>
    </row>
    <row r="387" spans="2:3" ht="13.5">
      <c r="B387" s="9">
        <f t="shared" si="5"/>
        <v>383</v>
      </c>
      <c r="C387" s="12" t="s">
        <v>317</v>
      </c>
    </row>
    <row r="388" spans="2:3" ht="13.5">
      <c r="B388" s="9">
        <f t="shared" si="5"/>
        <v>384</v>
      </c>
      <c r="C388" s="12" t="s">
        <v>962</v>
      </c>
    </row>
    <row r="389" spans="2:3" ht="13.5">
      <c r="B389" s="9">
        <f t="shared" si="5"/>
        <v>385</v>
      </c>
      <c r="C389" s="12" t="s">
        <v>610</v>
      </c>
    </row>
    <row r="390" spans="2:3" ht="13.5">
      <c r="B390" s="9">
        <f t="shared" si="5"/>
        <v>386</v>
      </c>
      <c r="C390" s="12" t="s">
        <v>963</v>
      </c>
    </row>
    <row r="391" spans="2:3" ht="13.5">
      <c r="B391" s="9">
        <f aca="true" t="shared" si="6" ref="B391:B454">B390+1</f>
        <v>387</v>
      </c>
      <c r="C391" s="12" t="s">
        <v>611</v>
      </c>
    </row>
    <row r="392" spans="2:3" ht="13.5">
      <c r="B392" s="9">
        <f t="shared" si="6"/>
        <v>388</v>
      </c>
      <c r="C392" s="12" t="s">
        <v>327</v>
      </c>
    </row>
    <row r="393" spans="2:3" ht="13.5">
      <c r="B393" s="9">
        <f t="shared" si="6"/>
        <v>389</v>
      </c>
      <c r="C393" s="12" t="s">
        <v>474</v>
      </c>
    </row>
    <row r="394" spans="2:3" ht="13.5">
      <c r="B394" s="9">
        <f t="shared" si="6"/>
        <v>390</v>
      </c>
      <c r="C394" s="12" t="s">
        <v>964</v>
      </c>
    </row>
    <row r="395" spans="2:3" ht="13.5">
      <c r="B395" s="9">
        <f t="shared" si="6"/>
        <v>391</v>
      </c>
      <c r="C395" s="12" t="s">
        <v>965</v>
      </c>
    </row>
    <row r="396" spans="2:3" ht="13.5">
      <c r="B396" s="9">
        <f t="shared" si="6"/>
        <v>392</v>
      </c>
      <c r="C396" s="12" t="s">
        <v>475</v>
      </c>
    </row>
    <row r="397" spans="2:3" ht="13.5">
      <c r="B397" s="9">
        <f t="shared" si="6"/>
        <v>393</v>
      </c>
      <c r="C397" s="12" t="s">
        <v>966</v>
      </c>
    </row>
    <row r="398" spans="2:3" ht="13.5">
      <c r="B398" s="9">
        <f t="shared" si="6"/>
        <v>394</v>
      </c>
      <c r="C398" s="12" t="s">
        <v>967</v>
      </c>
    </row>
    <row r="399" spans="2:3" ht="13.5">
      <c r="B399" s="9">
        <f t="shared" si="6"/>
        <v>395</v>
      </c>
      <c r="C399" s="12" t="s">
        <v>476</v>
      </c>
    </row>
    <row r="400" spans="2:3" ht="13.5">
      <c r="B400" s="9">
        <f t="shared" si="6"/>
        <v>396</v>
      </c>
      <c r="C400" s="12" t="s">
        <v>968</v>
      </c>
    </row>
    <row r="401" spans="2:3" ht="13.5">
      <c r="B401" s="9">
        <f t="shared" si="6"/>
        <v>397</v>
      </c>
      <c r="C401" s="12" t="s">
        <v>969</v>
      </c>
    </row>
    <row r="402" spans="2:3" ht="13.5">
      <c r="B402" s="9">
        <f t="shared" si="6"/>
        <v>398</v>
      </c>
      <c r="C402" s="12" t="s">
        <v>970</v>
      </c>
    </row>
    <row r="403" spans="2:3" ht="13.5">
      <c r="B403" s="9">
        <f t="shared" si="6"/>
        <v>399</v>
      </c>
      <c r="C403" s="12" t="s">
        <v>477</v>
      </c>
    </row>
    <row r="404" spans="2:3" ht="13.5">
      <c r="B404" s="9">
        <f t="shared" si="6"/>
        <v>400</v>
      </c>
      <c r="C404" s="12" t="s">
        <v>318</v>
      </c>
    </row>
    <row r="405" spans="2:3" ht="13.5">
      <c r="B405" s="9">
        <f t="shared" si="6"/>
        <v>401</v>
      </c>
      <c r="C405" s="12" t="s">
        <v>971</v>
      </c>
    </row>
    <row r="406" spans="2:3" ht="13.5">
      <c r="B406" s="9">
        <f t="shared" si="6"/>
        <v>402</v>
      </c>
      <c r="C406" s="12" t="s">
        <v>478</v>
      </c>
    </row>
    <row r="407" spans="2:3" ht="13.5">
      <c r="B407" s="9">
        <f t="shared" si="6"/>
        <v>403</v>
      </c>
      <c r="C407" s="12" t="s">
        <v>479</v>
      </c>
    </row>
    <row r="408" spans="2:3" ht="13.5">
      <c r="B408" s="9">
        <f t="shared" si="6"/>
        <v>404</v>
      </c>
      <c r="C408" s="12" t="s">
        <v>480</v>
      </c>
    </row>
    <row r="409" spans="2:3" ht="13.5">
      <c r="B409" s="9">
        <f t="shared" si="6"/>
        <v>405</v>
      </c>
      <c r="C409" s="12" t="s">
        <v>972</v>
      </c>
    </row>
    <row r="410" spans="2:3" ht="13.5">
      <c r="B410" s="9">
        <f t="shared" si="6"/>
        <v>406</v>
      </c>
      <c r="C410" s="12" t="s">
        <v>481</v>
      </c>
    </row>
    <row r="411" spans="2:3" ht="13.5">
      <c r="B411" s="9">
        <f t="shared" si="6"/>
        <v>407</v>
      </c>
      <c r="C411" s="12" t="s">
        <v>612</v>
      </c>
    </row>
    <row r="412" spans="2:3" ht="13.5">
      <c r="B412" s="9">
        <f t="shared" si="6"/>
        <v>408</v>
      </c>
      <c r="C412" s="12" t="s">
        <v>482</v>
      </c>
    </row>
    <row r="413" spans="2:3" ht="13.5">
      <c r="B413" s="9">
        <f t="shared" si="6"/>
        <v>409</v>
      </c>
      <c r="C413" s="12" t="s">
        <v>483</v>
      </c>
    </row>
    <row r="414" spans="2:3" ht="13.5">
      <c r="B414" s="9">
        <f t="shared" si="6"/>
        <v>410</v>
      </c>
      <c r="C414" s="12" t="s">
        <v>973</v>
      </c>
    </row>
    <row r="415" spans="2:3" ht="13.5">
      <c r="B415" s="9">
        <f t="shared" si="6"/>
        <v>411</v>
      </c>
      <c r="C415" s="12" t="s">
        <v>484</v>
      </c>
    </row>
    <row r="416" spans="2:3" ht="13.5">
      <c r="B416" s="9">
        <f t="shared" si="6"/>
        <v>412</v>
      </c>
      <c r="C416" s="12" t="s">
        <v>980</v>
      </c>
    </row>
    <row r="417" spans="2:3" ht="13.5">
      <c r="B417" s="9">
        <f t="shared" si="6"/>
        <v>413</v>
      </c>
      <c r="C417" s="12" t="s">
        <v>485</v>
      </c>
    </row>
    <row r="418" spans="2:3" ht="13.5">
      <c r="B418" s="9">
        <f t="shared" si="6"/>
        <v>414</v>
      </c>
      <c r="C418" s="12" t="s">
        <v>488</v>
      </c>
    </row>
    <row r="419" spans="2:3" ht="13.5">
      <c r="B419" s="9">
        <f t="shared" si="6"/>
        <v>415</v>
      </c>
      <c r="C419" s="12" t="s">
        <v>613</v>
      </c>
    </row>
    <row r="420" spans="2:3" ht="13.5">
      <c r="B420" s="9">
        <f t="shared" si="6"/>
        <v>416</v>
      </c>
      <c r="C420" s="12" t="s">
        <v>323</v>
      </c>
    </row>
    <row r="421" spans="2:3" ht="13.5">
      <c r="B421" s="9">
        <f t="shared" si="6"/>
        <v>417</v>
      </c>
      <c r="C421" s="12" t="s">
        <v>614</v>
      </c>
    </row>
    <row r="422" spans="2:3" ht="13.5">
      <c r="B422" s="9">
        <f t="shared" si="6"/>
        <v>418</v>
      </c>
      <c r="C422" s="12" t="s">
        <v>981</v>
      </c>
    </row>
    <row r="423" spans="2:3" ht="13.5">
      <c r="B423" s="9">
        <f t="shared" si="6"/>
        <v>419</v>
      </c>
      <c r="C423" s="12" t="s">
        <v>615</v>
      </c>
    </row>
    <row r="424" spans="2:3" ht="13.5">
      <c r="B424" s="9">
        <f t="shared" si="6"/>
        <v>420</v>
      </c>
      <c r="C424" s="12" t="s">
        <v>982</v>
      </c>
    </row>
    <row r="425" spans="2:3" ht="13.5">
      <c r="B425" s="9">
        <f t="shared" si="6"/>
        <v>421</v>
      </c>
      <c r="C425" s="12" t="s">
        <v>324</v>
      </c>
    </row>
    <row r="426" spans="2:3" ht="13.5">
      <c r="B426" s="9">
        <f t="shared" si="6"/>
        <v>422</v>
      </c>
      <c r="C426" s="12" t="s">
        <v>983</v>
      </c>
    </row>
    <row r="427" spans="2:3" ht="13.5">
      <c r="B427" s="9">
        <f t="shared" si="6"/>
        <v>423</v>
      </c>
      <c r="C427" s="12" t="s">
        <v>489</v>
      </c>
    </row>
    <row r="428" spans="2:3" ht="13.5">
      <c r="B428" s="9">
        <f t="shared" si="6"/>
        <v>424</v>
      </c>
      <c r="C428" s="12" t="s">
        <v>984</v>
      </c>
    </row>
    <row r="429" spans="2:3" ht="13.5">
      <c r="B429" s="9">
        <f t="shared" si="6"/>
        <v>425</v>
      </c>
      <c r="C429" s="12" t="s">
        <v>985</v>
      </c>
    </row>
    <row r="430" spans="2:3" ht="13.5">
      <c r="B430" s="9">
        <f t="shared" si="6"/>
        <v>426</v>
      </c>
      <c r="C430" s="12" t="s">
        <v>490</v>
      </c>
    </row>
    <row r="431" spans="2:3" ht="13.5">
      <c r="B431" s="9">
        <f t="shared" si="6"/>
        <v>427</v>
      </c>
      <c r="C431" s="12" t="s">
        <v>328</v>
      </c>
    </row>
    <row r="432" spans="2:3" ht="13.5">
      <c r="B432" s="9">
        <f t="shared" si="6"/>
        <v>428</v>
      </c>
      <c r="C432" s="12" t="s">
        <v>491</v>
      </c>
    </row>
    <row r="433" spans="2:3" ht="13.5">
      <c r="B433" s="9">
        <f t="shared" si="6"/>
        <v>429</v>
      </c>
      <c r="C433" s="12" t="s">
        <v>986</v>
      </c>
    </row>
    <row r="434" spans="2:3" ht="13.5">
      <c r="B434" s="9">
        <f t="shared" si="6"/>
        <v>430</v>
      </c>
      <c r="C434" s="12" t="s">
        <v>987</v>
      </c>
    </row>
    <row r="435" spans="2:3" ht="13.5">
      <c r="B435" s="9">
        <f t="shared" si="6"/>
        <v>431</v>
      </c>
      <c r="C435" s="12" t="s">
        <v>616</v>
      </c>
    </row>
    <row r="436" spans="2:3" ht="13.5">
      <c r="B436" s="9">
        <f t="shared" si="6"/>
        <v>432</v>
      </c>
      <c r="C436" s="12" t="s">
        <v>492</v>
      </c>
    </row>
    <row r="437" spans="2:3" ht="13.5">
      <c r="B437" s="9">
        <f t="shared" si="6"/>
        <v>433</v>
      </c>
      <c r="C437" s="12" t="s">
        <v>493</v>
      </c>
    </row>
    <row r="438" spans="2:3" ht="13.5">
      <c r="B438" s="9">
        <f t="shared" si="6"/>
        <v>434</v>
      </c>
      <c r="C438" s="12" t="s">
        <v>617</v>
      </c>
    </row>
    <row r="439" spans="2:3" ht="13.5">
      <c r="B439" s="9">
        <f t="shared" si="6"/>
        <v>435</v>
      </c>
      <c r="C439" s="12" t="s">
        <v>494</v>
      </c>
    </row>
    <row r="440" spans="2:3" ht="13.5">
      <c r="B440" s="9">
        <f t="shared" si="6"/>
        <v>436</v>
      </c>
      <c r="C440" s="12" t="s">
        <v>495</v>
      </c>
    </row>
    <row r="441" spans="2:3" ht="13.5">
      <c r="B441" s="9">
        <f t="shared" si="6"/>
        <v>437</v>
      </c>
      <c r="C441" s="12" t="s">
        <v>496</v>
      </c>
    </row>
    <row r="442" spans="2:3" ht="13.5">
      <c r="B442" s="9">
        <f t="shared" si="6"/>
        <v>438</v>
      </c>
      <c r="C442" s="12" t="s">
        <v>988</v>
      </c>
    </row>
    <row r="443" spans="2:3" ht="13.5">
      <c r="B443" s="9">
        <f t="shared" si="6"/>
        <v>439</v>
      </c>
      <c r="C443" s="12" t="s">
        <v>618</v>
      </c>
    </row>
    <row r="444" spans="2:3" ht="13.5">
      <c r="B444" s="9">
        <f t="shared" si="6"/>
        <v>440</v>
      </c>
      <c r="C444" s="12" t="s">
        <v>497</v>
      </c>
    </row>
    <row r="445" spans="2:3" ht="13.5">
      <c r="B445" s="9">
        <f t="shared" si="6"/>
        <v>441</v>
      </c>
      <c r="C445" s="12" t="s">
        <v>498</v>
      </c>
    </row>
    <row r="446" spans="2:3" ht="13.5">
      <c r="B446" s="9">
        <f t="shared" si="6"/>
        <v>442</v>
      </c>
      <c r="C446" s="12" t="s">
        <v>499</v>
      </c>
    </row>
    <row r="447" spans="2:3" ht="13.5">
      <c r="B447" s="9">
        <f t="shared" si="6"/>
        <v>443</v>
      </c>
      <c r="C447" s="12" t="s">
        <v>989</v>
      </c>
    </row>
    <row r="448" spans="2:3" ht="13.5">
      <c r="B448" s="9">
        <f t="shared" si="6"/>
        <v>444</v>
      </c>
      <c r="C448" s="12" t="s">
        <v>500</v>
      </c>
    </row>
    <row r="449" spans="2:3" ht="13.5">
      <c r="B449" s="9">
        <f t="shared" si="6"/>
        <v>445</v>
      </c>
      <c r="C449" s="12" t="s">
        <v>501</v>
      </c>
    </row>
    <row r="450" spans="2:3" ht="13.5">
      <c r="B450" s="9">
        <f t="shared" si="6"/>
        <v>446</v>
      </c>
      <c r="C450" s="12" t="s">
        <v>502</v>
      </c>
    </row>
    <row r="451" spans="2:3" ht="13.5">
      <c r="B451" s="9">
        <f t="shared" si="6"/>
        <v>447</v>
      </c>
      <c r="C451" s="12" t="s">
        <v>503</v>
      </c>
    </row>
    <row r="452" spans="2:3" ht="13.5">
      <c r="B452" s="9">
        <f t="shared" si="6"/>
        <v>448</v>
      </c>
      <c r="C452" s="12" t="s">
        <v>990</v>
      </c>
    </row>
    <row r="453" spans="2:3" ht="13.5">
      <c r="B453" s="9">
        <f t="shared" si="6"/>
        <v>449</v>
      </c>
      <c r="C453" s="12" t="s">
        <v>991</v>
      </c>
    </row>
    <row r="454" spans="2:3" ht="13.5">
      <c r="B454" s="9">
        <f t="shared" si="6"/>
        <v>450</v>
      </c>
      <c r="C454" s="12" t="s">
        <v>992</v>
      </c>
    </row>
    <row r="455" spans="2:3" ht="13.5">
      <c r="B455" s="9">
        <f aca="true" t="shared" si="7" ref="B455:B518">B454+1</f>
        <v>451</v>
      </c>
      <c r="C455" s="12" t="s">
        <v>993</v>
      </c>
    </row>
    <row r="456" spans="2:3" ht="13.5">
      <c r="B456" s="9">
        <f t="shared" si="7"/>
        <v>452</v>
      </c>
      <c r="C456" s="12" t="s">
        <v>994</v>
      </c>
    </row>
    <row r="457" spans="2:3" ht="13.5">
      <c r="B457" s="9">
        <f t="shared" si="7"/>
        <v>453</v>
      </c>
      <c r="C457" s="12" t="s">
        <v>995</v>
      </c>
    </row>
    <row r="458" spans="2:3" ht="13.5">
      <c r="B458" s="9">
        <f t="shared" si="7"/>
        <v>454</v>
      </c>
      <c r="C458" s="12" t="s">
        <v>504</v>
      </c>
    </row>
    <row r="459" spans="2:3" ht="13.5">
      <c r="B459" s="9">
        <f t="shared" si="7"/>
        <v>455</v>
      </c>
      <c r="C459" s="12" t="s">
        <v>619</v>
      </c>
    </row>
    <row r="460" spans="2:3" ht="13.5">
      <c r="B460" s="9">
        <f t="shared" si="7"/>
        <v>456</v>
      </c>
      <c r="C460" s="12" t="s">
        <v>996</v>
      </c>
    </row>
    <row r="461" spans="2:3" ht="13.5">
      <c r="B461" s="9">
        <f t="shared" si="7"/>
        <v>457</v>
      </c>
      <c r="C461" s="12" t="s">
        <v>505</v>
      </c>
    </row>
    <row r="462" spans="2:3" ht="13.5">
      <c r="B462" s="9">
        <f t="shared" si="7"/>
        <v>458</v>
      </c>
      <c r="C462" s="12" t="s">
        <v>997</v>
      </c>
    </row>
    <row r="463" spans="2:3" ht="13.5">
      <c r="B463" s="9">
        <f t="shared" si="7"/>
        <v>459</v>
      </c>
      <c r="C463" s="12" t="s">
        <v>998</v>
      </c>
    </row>
    <row r="464" spans="2:3" ht="13.5">
      <c r="B464" s="9">
        <f t="shared" si="7"/>
        <v>460</v>
      </c>
      <c r="C464" s="12" t="s">
        <v>999</v>
      </c>
    </row>
    <row r="465" spans="2:3" ht="13.5">
      <c r="B465" s="9">
        <f t="shared" si="7"/>
        <v>461</v>
      </c>
      <c r="C465" s="12" t="s">
        <v>620</v>
      </c>
    </row>
    <row r="466" spans="2:3" ht="13.5">
      <c r="B466" s="9">
        <f t="shared" si="7"/>
        <v>462</v>
      </c>
      <c r="C466" s="12" t="s">
        <v>1000</v>
      </c>
    </row>
    <row r="467" spans="2:3" ht="13.5">
      <c r="B467" s="9">
        <f t="shared" si="7"/>
        <v>463</v>
      </c>
      <c r="C467" s="12" t="s">
        <v>1009</v>
      </c>
    </row>
    <row r="468" spans="2:3" ht="13.5">
      <c r="B468" s="9">
        <f t="shared" si="7"/>
        <v>464</v>
      </c>
      <c r="C468" s="12" t="s">
        <v>1010</v>
      </c>
    </row>
    <row r="469" spans="2:3" ht="13.5">
      <c r="B469" s="9">
        <f t="shared" si="7"/>
        <v>465</v>
      </c>
      <c r="C469" s="12" t="s">
        <v>621</v>
      </c>
    </row>
    <row r="470" spans="2:3" ht="13.5">
      <c r="B470" s="9">
        <f t="shared" si="7"/>
        <v>466</v>
      </c>
      <c r="C470" s="12" t="s">
        <v>1011</v>
      </c>
    </row>
    <row r="471" spans="2:3" ht="13.5">
      <c r="B471" s="9">
        <f t="shared" si="7"/>
        <v>467</v>
      </c>
      <c r="C471" s="12" t="s">
        <v>506</v>
      </c>
    </row>
    <row r="472" spans="2:3" ht="13.5">
      <c r="B472" s="9">
        <f t="shared" si="7"/>
        <v>468</v>
      </c>
      <c r="C472" s="12" t="s">
        <v>507</v>
      </c>
    </row>
    <row r="473" spans="2:3" ht="13.5">
      <c r="B473" s="9">
        <f t="shared" si="7"/>
        <v>469</v>
      </c>
      <c r="C473" s="12" t="s">
        <v>1012</v>
      </c>
    </row>
    <row r="474" spans="2:3" ht="13.5">
      <c r="B474" s="9">
        <f t="shared" si="7"/>
        <v>470</v>
      </c>
      <c r="C474" s="12" t="s">
        <v>1013</v>
      </c>
    </row>
    <row r="475" spans="2:3" ht="13.5">
      <c r="B475" s="9">
        <f t="shared" si="7"/>
        <v>471</v>
      </c>
      <c r="C475" s="12" t="s">
        <v>508</v>
      </c>
    </row>
    <row r="476" spans="2:3" ht="13.5">
      <c r="B476" s="9">
        <f t="shared" si="7"/>
        <v>472</v>
      </c>
      <c r="C476" s="12" t="s">
        <v>509</v>
      </c>
    </row>
    <row r="477" spans="2:3" ht="13.5">
      <c r="B477" s="9">
        <f t="shared" si="7"/>
        <v>473</v>
      </c>
      <c r="C477" s="12" t="s">
        <v>329</v>
      </c>
    </row>
    <row r="478" spans="2:3" ht="13.5">
      <c r="B478" s="9">
        <f t="shared" si="7"/>
        <v>474</v>
      </c>
      <c r="C478" s="12" t="s">
        <v>1014</v>
      </c>
    </row>
    <row r="479" spans="2:3" ht="13.5">
      <c r="B479" s="9">
        <f t="shared" si="7"/>
        <v>475</v>
      </c>
      <c r="C479" s="12" t="s">
        <v>622</v>
      </c>
    </row>
    <row r="480" spans="2:3" ht="13.5">
      <c r="B480" s="9">
        <f t="shared" si="7"/>
        <v>476</v>
      </c>
      <c r="C480" s="12" t="s">
        <v>510</v>
      </c>
    </row>
    <row r="481" spans="2:3" ht="13.5">
      <c r="B481" s="9">
        <f t="shared" si="7"/>
        <v>477</v>
      </c>
      <c r="C481" s="12" t="s">
        <v>1015</v>
      </c>
    </row>
    <row r="482" spans="2:3" ht="13.5">
      <c r="B482" s="9">
        <f t="shared" si="7"/>
        <v>478</v>
      </c>
      <c r="C482" s="12" t="s">
        <v>1016</v>
      </c>
    </row>
    <row r="483" spans="2:3" ht="13.5">
      <c r="B483" s="9">
        <f t="shared" si="7"/>
        <v>479</v>
      </c>
      <c r="C483" s="12" t="s">
        <v>511</v>
      </c>
    </row>
    <row r="484" spans="2:3" ht="13.5">
      <c r="B484" s="9">
        <f t="shared" si="7"/>
        <v>480</v>
      </c>
      <c r="C484" s="12" t="s">
        <v>512</v>
      </c>
    </row>
    <row r="485" spans="2:3" ht="13.5">
      <c r="B485" s="9">
        <f t="shared" si="7"/>
        <v>481</v>
      </c>
      <c r="C485" s="12" t="s">
        <v>319</v>
      </c>
    </row>
    <row r="486" spans="2:3" ht="13.5">
      <c r="B486" s="9">
        <f t="shared" si="7"/>
        <v>482</v>
      </c>
      <c r="C486" s="12" t="s">
        <v>1017</v>
      </c>
    </row>
    <row r="487" spans="2:3" ht="13.5">
      <c r="B487" s="9">
        <f t="shared" si="7"/>
        <v>483</v>
      </c>
      <c r="C487" s="12" t="s">
        <v>1018</v>
      </c>
    </row>
    <row r="488" spans="2:3" ht="13.5">
      <c r="B488" s="9">
        <f t="shared" si="7"/>
        <v>484</v>
      </c>
      <c r="C488" s="12" t="s">
        <v>513</v>
      </c>
    </row>
    <row r="489" spans="2:3" ht="13.5">
      <c r="B489" s="9">
        <f t="shared" si="7"/>
        <v>485</v>
      </c>
      <c r="C489" s="12" t="s">
        <v>1019</v>
      </c>
    </row>
    <row r="490" spans="2:3" ht="13.5">
      <c r="B490" s="9">
        <f t="shared" si="7"/>
        <v>486</v>
      </c>
      <c r="C490" s="12" t="s">
        <v>1020</v>
      </c>
    </row>
    <row r="491" spans="2:3" ht="13.5">
      <c r="B491" s="9">
        <f t="shared" si="7"/>
        <v>487</v>
      </c>
      <c r="C491" s="12" t="s">
        <v>1021</v>
      </c>
    </row>
    <row r="492" spans="2:3" ht="13.5">
      <c r="B492" s="9">
        <f t="shared" si="7"/>
        <v>488</v>
      </c>
      <c r="C492" s="12" t="s">
        <v>1022</v>
      </c>
    </row>
    <row r="493" spans="2:3" ht="13.5">
      <c r="B493" s="9">
        <f t="shared" si="7"/>
        <v>489</v>
      </c>
      <c r="C493" s="12" t="s">
        <v>514</v>
      </c>
    </row>
    <row r="494" spans="2:3" ht="13.5">
      <c r="B494" s="9">
        <f t="shared" si="7"/>
        <v>490</v>
      </c>
      <c r="C494" s="12" t="s">
        <v>1023</v>
      </c>
    </row>
    <row r="495" spans="2:3" ht="13.5">
      <c r="B495" s="9">
        <f t="shared" si="7"/>
        <v>491</v>
      </c>
      <c r="C495" s="12" t="s">
        <v>1024</v>
      </c>
    </row>
    <row r="496" spans="2:3" ht="13.5">
      <c r="B496" s="9">
        <f t="shared" si="7"/>
        <v>492</v>
      </c>
      <c r="C496" s="12" t="s">
        <v>515</v>
      </c>
    </row>
    <row r="497" spans="2:3" ht="13.5">
      <c r="B497" s="9">
        <f t="shared" si="7"/>
        <v>493</v>
      </c>
      <c r="C497" s="12" t="s">
        <v>1025</v>
      </c>
    </row>
    <row r="498" spans="2:3" ht="13.5">
      <c r="B498" s="9">
        <f t="shared" si="7"/>
        <v>494</v>
      </c>
      <c r="C498" s="12" t="s">
        <v>516</v>
      </c>
    </row>
    <row r="499" spans="2:3" ht="13.5">
      <c r="B499" s="9">
        <f t="shared" si="7"/>
        <v>495</v>
      </c>
      <c r="C499" s="12" t="s">
        <v>517</v>
      </c>
    </row>
    <row r="500" spans="2:3" ht="13.5">
      <c r="B500" s="9">
        <f t="shared" si="7"/>
        <v>496</v>
      </c>
      <c r="C500" s="12" t="s">
        <v>1026</v>
      </c>
    </row>
    <row r="501" spans="2:3" ht="13.5">
      <c r="B501" s="9">
        <f t="shared" si="7"/>
        <v>497</v>
      </c>
      <c r="C501" s="12" t="s">
        <v>1034</v>
      </c>
    </row>
    <row r="502" spans="2:3" ht="13.5">
      <c r="B502" s="9">
        <f t="shared" si="7"/>
        <v>498</v>
      </c>
      <c r="C502" s="12" t="s">
        <v>1035</v>
      </c>
    </row>
    <row r="503" spans="2:3" ht="13.5">
      <c r="B503" s="9">
        <f t="shared" si="7"/>
        <v>499</v>
      </c>
      <c r="C503" s="12" t="s">
        <v>1036</v>
      </c>
    </row>
    <row r="504" spans="2:3" ht="13.5">
      <c r="B504" s="9">
        <f t="shared" si="7"/>
        <v>500</v>
      </c>
      <c r="C504" s="12" t="s">
        <v>1037</v>
      </c>
    </row>
    <row r="505" spans="2:3" ht="13.5">
      <c r="B505" s="9">
        <f>B504+1</f>
        <v>501</v>
      </c>
      <c r="C505" s="12" t="s">
        <v>1038</v>
      </c>
    </row>
    <row r="506" spans="2:3" ht="13.5">
      <c r="B506" s="9">
        <f t="shared" si="7"/>
        <v>502</v>
      </c>
      <c r="C506" s="12" t="s">
        <v>623</v>
      </c>
    </row>
    <row r="507" spans="2:3" ht="13.5">
      <c r="B507" s="9">
        <f t="shared" si="7"/>
        <v>503</v>
      </c>
      <c r="C507" s="12" t="s">
        <v>1099</v>
      </c>
    </row>
    <row r="508" spans="2:3" ht="13.5">
      <c r="B508" s="9">
        <f t="shared" si="7"/>
        <v>504</v>
      </c>
      <c r="C508" s="12" t="s">
        <v>1039</v>
      </c>
    </row>
    <row r="509" spans="2:3" ht="13.5">
      <c r="B509" s="9">
        <f t="shared" si="7"/>
        <v>505</v>
      </c>
      <c r="C509" s="12" t="s">
        <v>1040</v>
      </c>
    </row>
    <row r="510" spans="2:3" ht="13.5">
      <c r="B510" s="9">
        <f t="shared" si="7"/>
        <v>506</v>
      </c>
      <c r="C510" s="12" t="s">
        <v>1041</v>
      </c>
    </row>
    <row r="511" spans="2:3" ht="13.5">
      <c r="B511" s="9">
        <f t="shared" si="7"/>
        <v>507</v>
      </c>
      <c r="C511" s="12" t="s">
        <v>1043</v>
      </c>
    </row>
    <row r="512" spans="2:3" ht="13.5">
      <c r="B512" s="9">
        <f t="shared" si="7"/>
        <v>508</v>
      </c>
      <c r="C512" s="12" t="s">
        <v>518</v>
      </c>
    </row>
    <row r="513" spans="2:3" ht="13.5">
      <c r="B513" s="9">
        <f t="shared" si="7"/>
        <v>509</v>
      </c>
      <c r="C513" s="12" t="s">
        <v>519</v>
      </c>
    </row>
    <row r="514" spans="2:3" ht="13.5">
      <c r="B514" s="9">
        <f t="shared" si="7"/>
        <v>510</v>
      </c>
      <c r="C514" s="12" t="s">
        <v>1046</v>
      </c>
    </row>
    <row r="515" spans="2:3" ht="13.5">
      <c r="B515" s="9">
        <f t="shared" si="7"/>
        <v>511</v>
      </c>
      <c r="C515" s="12" t="s">
        <v>1047</v>
      </c>
    </row>
    <row r="516" spans="2:3" ht="13.5">
      <c r="B516" s="9">
        <f t="shared" si="7"/>
        <v>512</v>
      </c>
      <c r="C516" s="12" t="s">
        <v>520</v>
      </c>
    </row>
    <row r="517" spans="2:3" ht="13.5">
      <c r="B517" s="9">
        <f t="shared" si="7"/>
        <v>513</v>
      </c>
      <c r="C517" s="13" t="s">
        <v>1097</v>
      </c>
    </row>
    <row r="518" spans="2:3" ht="13.5">
      <c r="B518" s="9">
        <f t="shared" si="7"/>
        <v>514</v>
      </c>
      <c r="C518" s="12" t="s">
        <v>1048</v>
      </c>
    </row>
    <row r="519" spans="2:3" ht="13.5">
      <c r="B519" s="9">
        <f aca="true" t="shared" si="8" ref="B519:B582">B518+1</f>
        <v>515</v>
      </c>
      <c r="C519" s="12" t="s">
        <v>521</v>
      </c>
    </row>
    <row r="520" spans="2:3" ht="13.5">
      <c r="B520" s="9">
        <f t="shared" si="8"/>
        <v>516</v>
      </c>
      <c r="C520" s="12" t="s">
        <v>1049</v>
      </c>
    </row>
    <row r="521" spans="2:3" ht="13.5">
      <c r="B521" s="9">
        <f t="shared" si="8"/>
        <v>517</v>
      </c>
      <c r="C521" s="12" t="s">
        <v>1050</v>
      </c>
    </row>
    <row r="522" spans="2:3" ht="13.5">
      <c r="B522" s="9">
        <f t="shared" si="8"/>
        <v>518</v>
      </c>
      <c r="C522" s="12" t="s">
        <v>1051</v>
      </c>
    </row>
    <row r="523" spans="2:3" ht="13.5">
      <c r="B523" s="9">
        <f t="shared" si="8"/>
        <v>519</v>
      </c>
      <c r="C523" s="12" t="s">
        <v>1052</v>
      </c>
    </row>
    <row r="524" spans="2:3" ht="13.5">
      <c r="B524" s="9">
        <f t="shared" si="8"/>
        <v>520</v>
      </c>
      <c r="C524" s="12" t="s">
        <v>1053</v>
      </c>
    </row>
    <row r="525" spans="2:3" ht="13.5">
      <c r="B525" s="9">
        <f t="shared" si="8"/>
        <v>521</v>
      </c>
      <c r="C525" s="12" t="s">
        <v>522</v>
      </c>
    </row>
    <row r="526" spans="2:3" ht="13.5">
      <c r="B526" s="9">
        <f t="shared" si="8"/>
        <v>522</v>
      </c>
      <c r="C526" s="12" t="s">
        <v>1054</v>
      </c>
    </row>
    <row r="527" spans="2:3" ht="13.5">
      <c r="B527" s="9">
        <f t="shared" si="8"/>
        <v>523</v>
      </c>
      <c r="C527" s="12" t="s">
        <v>1055</v>
      </c>
    </row>
    <row r="528" spans="2:3" ht="13.5">
      <c r="B528" s="9">
        <f t="shared" si="8"/>
        <v>524</v>
      </c>
      <c r="C528" s="12" t="s">
        <v>523</v>
      </c>
    </row>
    <row r="529" spans="2:3" ht="13.5">
      <c r="B529" s="9">
        <f t="shared" si="8"/>
        <v>525</v>
      </c>
      <c r="C529" s="12" t="s">
        <v>1056</v>
      </c>
    </row>
    <row r="530" spans="2:3" ht="13.5">
      <c r="B530" s="9">
        <f t="shared" si="8"/>
        <v>526</v>
      </c>
      <c r="C530" s="12" t="s">
        <v>524</v>
      </c>
    </row>
    <row r="531" spans="2:3" ht="13.5">
      <c r="B531" s="9">
        <f t="shared" si="8"/>
        <v>527</v>
      </c>
      <c r="C531" s="12" t="s">
        <v>525</v>
      </c>
    </row>
    <row r="532" spans="2:3" ht="13.5">
      <c r="B532" s="9">
        <f t="shared" si="8"/>
        <v>528</v>
      </c>
      <c r="C532" s="12" t="s">
        <v>1057</v>
      </c>
    </row>
    <row r="533" spans="2:3" ht="13.5">
      <c r="B533" s="9">
        <f t="shared" si="8"/>
        <v>529</v>
      </c>
      <c r="C533" s="12" t="s">
        <v>526</v>
      </c>
    </row>
    <row r="534" spans="2:3" ht="13.5">
      <c r="B534" s="9">
        <f t="shared" si="8"/>
        <v>530</v>
      </c>
      <c r="C534" s="12" t="s">
        <v>527</v>
      </c>
    </row>
    <row r="535" spans="2:3" ht="13.5">
      <c r="B535" s="9">
        <f t="shared" si="8"/>
        <v>531</v>
      </c>
      <c r="C535" s="12" t="s">
        <v>1058</v>
      </c>
    </row>
    <row r="536" spans="2:3" ht="13.5">
      <c r="B536" s="9">
        <f t="shared" si="8"/>
        <v>532</v>
      </c>
      <c r="C536" s="12" t="s">
        <v>528</v>
      </c>
    </row>
    <row r="537" spans="2:3" ht="13.5">
      <c r="B537" s="9">
        <f t="shared" si="8"/>
        <v>533</v>
      </c>
      <c r="C537" s="12" t="s">
        <v>529</v>
      </c>
    </row>
    <row r="538" spans="2:3" ht="13.5">
      <c r="B538" s="9">
        <f t="shared" si="8"/>
        <v>534</v>
      </c>
      <c r="C538" s="12" t="s">
        <v>1059</v>
      </c>
    </row>
    <row r="539" spans="2:3" ht="13.5">
      <c r="B539" s="9">
        <f t="shared" si="8"/>
        <v>535</v>
      </c>
      <c r="C539" s="12" t="s">
        <v>530</v>
      </c>
    </row>
    <row r="540" spans="2:3" ht="13.5">
      <c r="B540" s="9">
        <f t="shared" si="8"/>
        <v>536</v>
      </c>
      <c r="C540" s="12" t="s">
        <v>1060</v>
      </c>
    </row>
    <row r="541" spans="2:3" ht="13.5">
      <c r="B541" s="9">
        <f t="shared" si="8"/>
        <v>537</v>
      </c>
      <c r="C541" s="12" t="s">
        <v>1061</v>
      </c>
    </row>
    <row r="542" spans="2:3" ht="13.5">
      <c r="B542" s="9">
        <f t="shared" si="8"/>
        <v>538</v>
      </c>
      <c r="C542" s="12" t="s">
        <v>1062</v>
      </c>
    </row>
    <row r="543" spans="2:3" ht="13.5">
      <c r="B543" s="9">
        <f t="shared" si="8"/>
        <v>539</v>
      </c>
      <c r="C543" s="12" t="s">
        <v>531</v>
      </c>
    </row>
    <row r="544" spans="2:3" ht="13.5">
      <c r="B544" s="9">
        <f t="shared" si="8"/>
        <v>540</v>
      </c>
      <c r="C544" s="12" t="s">
        <v>1063</v>
      </c>
    </row>
    <row r="545" spans="2:3" ht="13.5">
      <c r="B545" s="9">
        <f t="shared" si="8"/>
        <v>541</v>
      </c>
      <c r="C545" s="12" t="s">
        <v>1064</v>
      </c>
    </row>
    <row r="546" spans="2:3" ht="13.5">
      <c r="B546" s="9">
        <f t="shared" si="8"/>
        <v>542</v>
      </c>
      <c r="C546" s="12" t="s">
        <v>1065</v>
      </c>
    </row>
    <row r="547" spans="2:3" ht="13.5">
      <c r="B547" s="9">
        <f t="shared" si="8"/>
        <v>543</v>
      </c>
      <c r="C547" s="12" t="s">
        <v>1066</v>
      </c>
    </row>
    <row r="548" spans="2:3" ht="13.5">
      <c r="B548" s="9">
        <f t="shared" si="8"/>
        <v>544</v>
      </c>
      <c r="C548" s="12" t="s">
        <v>1067</v>
      </c>
    </row>
    <row r="549" spans="2:3" ht="13.5">
      <c r="B549" s="9">
        <f t="shared" si="8"/>
        <v>545</v>
      </c>
      <c r="C549" s="12" t="s">
        <v>304</v>
      </c>
    </row>
    <row r="550" spans="2:3" ht="13.5">
      <c r="B550" s="9">
        <f t="shared" si="8"/>
        <v>546</v>
      </c>
      <c r="C550" s="12" t="s">
        <v>532</v>
      </c>
    </row>
    <row r="551" spans="2:3" ht="13.5">
      <c r="B551" s="9">
        <f t="shared" si="8"/>
        <v>547</v>
      </c>
      <c r="C551" s="12" t="s">
        <v>1068</v>
      </c>
    </row>
    <row r="552" spans="2:3" ht="13.5">
      <c r="B552" s="9">
        <f t="shared" si="8"/>
        <v>548</v>
      </c>
      <c r="C552" s="12" t="s">
        <v>1069</v>
      </c>
    </row>
    <row r="553" spans="2:3" ht="13.5">
      <c r="B553" s="9">
        <f t="shared" si="8"/>
        <v>549</v>
      </c>
      <c r="C553" s="12" t="s">
        <v>1070</v>
      </c>
    </row>
    <row r="554" spans="2:3" ht="13.5">
      <c r="B554" s="9">
        <f t="shared" si="8"/>
        <v>550</v>
      </c>
      <c r="C554" s="12" t="s">
        <v>1071</v>
      </c>
    </row>
    <row r="555" spans="2:3" ht="13.5">
      <c r="B555" s="9">
        <f t="shared" si="8"/>
        <v>551</v>
      </c>
      <c r="C555" s="12" t="s">
        <v>1072</v>
      </c>
    </row>
    <row r="556" spans="2:3" ht="13.5">
      <c r="B556" s="9">
        <f t="shared" si="8"/>
        <v>552</v>
      </c>
      <c r="C556" s="12" t="s">
        <v>533</v>
      </c>
    </row>
    <row r="557" spans="2:3" ht="13.5">
      <c r="B557" s="9">
        <f t="shared" si="8"/>
        <v>553</v>
      </c>
      <c r="C557" s="12" t="s">
        <v>305</v>
      </c>
    </row>
    <row r="558" spans="2:3" ht="13.5">
      <c r="B558" s="9">
        <f t="shared" si="8"/>
        <v>554</v>
      </c>
      <c r="C558" s="12" t="s">
        <v>534</v>
      </c>
    </row>
    <row r="559" spans="2:3" ht="13.5">
      <c r="B559" s="9">
        <f t="shared" si="8"/>
        <v>555</v>
      </c>
      <c r="C559" s="12" t="s">
        <v>535</v>
      </c>
    </row>
    <row r="560" spans="2:3" ht="13.5">
      <c r="B560" s="9">
        <f t="shared" si="8"/>
        <v>556</v>
      </c>
      <c r="C560" s="12" t="s">
        <v>536</v>
      </c>
    </row>
    <row r="561" spans="2:3" ht="13.5">
      <c r="B561" s="9">
        <f t="shared" si="8"/>
        <v>557</v>
      </c>
      <c r="C561" s="12" t="s">
        <v>624</v>
      </c>
    </row>
    <row r="562" spans="2:3" ht="13.5">
      <c r="B562" s="9">
        <f t="shared" si="8"/>
        <v>558</v>
      </c>
      <c r="C562" s="12" t="s">
        <v>1073</v>
      </c>
    </row>
    <row r="563" spans="2:3" ht="13.5">
      <c r="B563" s="9">
        <f t="shared" si="8"/>
        <v>559</v>
      </c>
      <c r="C563" s="12" t="s">
        <v>1074</v>
      </c>
    </row>
    <row r="564" spans="2:3" ht="13.5">
      <c r="B564" s="9">
        <f t="shared" si="8"/>
        <v>560</v>
      </c>
      <c r="C564" s="12" t="s">
        <v>298</v>
      </c>
    </row>
    <row r="565" spans="2:3" ht="13.5">
      <c r="B565" s="9">
        <f t="shared" si="8"/>
        <v>561</v>
      </c>
      <c r="C565" s="12" t="s">
        <v>1075</v>
      </c>
    </row>
    <row r="566" spans="2:3" ht="13.5">
      <c r="B566" s="9">
        <f t="shared" si="8"/>
        <v>562</v>
      </c>
      <c r="C566" s="12" t="s">
        <v>1076</v>
      </c>
    </row>
    <row r="567" spans="2:3" ht="13.5">
      <c r="B567" s="9">
        <f t="shared" si="8"/>
        <v>563</v>
      </c>
      <c r="C567" s="12" t="s">
        <v>1077</v>
      </c>
    </row>
    <row r="568" spans="2:3" ht="13.5">
      <c r="B568" s="9">
        <f t="shared" si="8"/>
        <v>564</v>
      </c>
      <c r="C568" s="12" t="s">
        <v>537</v>
      </c>
    </row>
    <row r="569" spans="2:3" ht="13.5">
      <c r="B569" s="9">
        <f t="shared" si="8"/>
        <v>565</v>
      </c>
      <c r="C569" s="12" t="s">
        <v>625</v>
      </c>
    </row>
    <row r="570" spans="2:3" ht="13.5">
      <c r="B570" s="9">
        <f t="shared" si="8"/>
        <v>566</v>
      </c>
      <c r="C570" s="12" t="s">
        <v>538</v>
      </c>
    </row>
    <row r="571" spans="2:3" ht="13.5">
      <c r="B571" s="9">
        <f t="shared" si="8"/>
        <v>567</v>
      </c>
      <c r="C571" s="12" t="s">
        <v>1079</v>
      </c>
    </row>
    <row r="572" spans="2:3" ht="13.5">
      <c r="B572" s="9">
        <f t="shared" si="8"/>
        <v>568</v>
      </c>
      <c r="C572" s="12" t="s">
        <v>626</v>
      </c>
    </row>
    <row r="573" spans="2:3" ht="13.5">
      <c r="B573" s="9">
        <f t="shared" si="8"/>
        <v>569</v>
      </c>
      <c r="C573" s="12" t="s">
        <v>1078</v>
      </c>
    </row>
    <row r="574" spans="2:3" ht="13.5">
      <c r="B574" s="9">
        <f t="shared" si="8"/>
        <v>570</v>
      </c>
      <c r="C574" s="12" t="s">
        <v>539</v>
      </c>
    </row>
    <row r="575" spans="2:3" ht="13.5">
      <c r="B575" s="9">
        <f t="shared" si="8"/>
        <v>571</v>
      </c>
      <c r="C575" s="12" t="s">
        <v>540</v>
      </c>
    </row>
    <row r="576" spans="2:3" ht="13.5">
      <c r="B576" s="9">
        <f t="shared" si="8"/>
        <v>572</v>
      </c>
      <c r="C576" s="12" t="s">
        <v>1080</v>
      </c>
    </row>
    <row r="577" spans="2:3" ht="13.5">
      <c r="B577" s="9">
        <f t="shared" si="8"/>
        <v>573</v>
      </c>
      <c r="C577" s="12" t="s">
        <v>1081</v>
      </c>
    </row>
    <row r="578" spans="2:3" ht="13.5">
      <c r="B578" s="9">
        <f t="shared" si="8"/>
        <v>574</v>
      </c>
      <c r="C578" s="12" t="s">
        <v>541</v>
      </c>
    </row>
    <row r="579" spans="2:3" ht="13.5">
      <c r="B579" s="9">
        <f t="shared" si="8"/>
        <v>575</v>
      </c>
      <c r="C579" s="12" t="s">
        <v>542</v>
      </c>
    </row>
    <row r="580" spans="2:3" ht="13.5">
      <c r="B580" s="9">
        <f t="shared" si="8"/>
        <v>576</v>
      </c>
      <c r="C580" s="12" t="s">
        <v>543</v>
      </c>
    </row>
    <row r="581" spans="2:3" ht="13.5">
      <c r="B581" s="9">
        <f t="shared" si="8"/>
        <v>577</v>
      </c>
      <c r="C581" s="12" t="s">
        <v>544</v>
      </c>
    </row>
    <row r="582" spans="2:3" ht="13.5">
      <c r="B582" s="9">
        <f t="shared" si="8"/>
        <v>578</v>
      </c>
      <c r="C582" s="12" t="s">
        <v>627</v>
      </c>
    </row>
    <row r="583" spans="2:3" ht="13.5">
      <c r="B583" s="9">
        <f aca="true" t="shared" si="9" ref="B583:B646">B582+1</f>
        <v>579</v>
      </c>
      <c r="C583" s="12" t="s">
        <v>1082</v>
      </c>
    </row>
    <row r="584" spans="2:3" ht="13.5">
      <c r="B584" s="9">
        <f t="shared" si="9"/>
        <v>580</v>
      </c>
      <c r="C584" s="12" t="s">
        <v>1083</v>
      </c>
    </row>
    <row r="585" spans="2:3" ht="13.5">
      <c r="B585" s="9">
        <f t="shared" si="9"/>
        <v>581</v>
      </c>
      <c r="C585" s="12" t="s">
        <v>628</v>
      </c>
    </row>
    <row r="586" spans="2:3" ht="13.5">
      <c r="B586" s="9">
        <f t="shared" si="9"/>
        <v>582</v>
      </c>
      <c r="C586" s="12" t="s">
        <v>545</v>
      </c>
    </row>
    <row r="587" spans="2:3" ht="13.5">
      <c r="B587" s="9">
        <f t="shared" si="9"/>
        <v>583</v>
      </c>
      <c r="C587" s="12" t="s">
        <v>1084</v>
      </c>
    </row>
    <row r="588" spans="2:3" ht="13.5">
      <c r="B588" s="9">
        <f t="shared" si="9"/>
        <v>584</v>
      </c>
      <c r="C588" s="12" t="s">
        <v>1085</v>
      </c>
    </row>
    <row r="589" spans="2:3" ht="13.5">
      <c r="B589" s="9">
        <f t="shared" si="9"/>
        <v>585</v>
      </c>
      <c r="C589" s="12" t="s">
        <v>306</v>
      </c>
    </row>
    <row r="590" spans="2:3" ht="13.5">
      <c r="B590" s="9">
        <f t="shared" si="9"/>
        <v>586</v>
      </c>
      <c r="C590" s="12" t="s">
        <v>546</v>
      </c>
    </row>
    <row r="591" spans="2:3" ht="13.5">
      <c r="B591" s="9">
        <f t="shared" si="9"/>
        <v>587</v>
      </c>
      <c r="C591" s="12" t="s">
        <v>547</v>
      </c>
    </row>
    <row r="592" spans="2:3" ht="13.5">
      <c r="B592" s="9">
        <f t="shared" si="9"/>
        <v>588</v>
      </c>
      <c r="C592" s="12" t="s">
        <v>548</v>
      </c>
    </row>
    <row r="593" spans="2:3" ht="13.5">
      <c r="B593" s="9">
        <f t="shared" si="9"/>
        <v>589</v>
      </c>
      <c r="C593" s="12" t="s">
        <v>307</v>
      </c>
    </row>
    <row r="594" spans="2:3" ht="13.5">
      <c r="B594" s="9">
        <f t="shared" si="9"/>
        <v>590</v>
      </c>
      <c r="C594" s="12" t="s">
        <v>1086</v>
      </c>
    </row>
    <row r="595" spans="2:3" ht="13.5">
      <c r="B595" s="9">
        <f t="shared" si="9"/>
        <v>591</v>
      </c>
      <c r="C595" s="12" t="s">
        <v>549</v>
      </c>
    </row>
    <row r="596" spans="2:3" ht="13.5">
      <c r="B596" s="9">
        <f t="shared" si="9"/>
        <v>592</v>
      </c>
      <c r="C596" s="12" t="s">
        <v>308</v>
      </c>
    </row>
    <row r="597" spans="2:3" ht="13.5">
      <c r="B597" s="9">
        <f t="shared" si="9"/>
        <v>593</v>
      </c>
      <c r="C597" s="12" t="s">
        <v>550</v>
      </c>
    </row>
    <row r="598" spans="2:3" ht="13.5">
      <c r="B598" s="9">
        <f t="shared" si="9"/>
        <v>594</v>
      </c>
      <c r="C598" s="12" t="s">
        <v>1087</v>
      </c>
    </row>
    <row r="599" spans="2:3" ht="13.5">
      <c r="B599" s="9">
        <f t="shared" si="9"/>
        <v>595</v>
      </c>
      <c r="C599" s="12" t="s">
        <v>1088</v>
      </c>
    </row>
    <row r="600" spans="2:3" ht="13.5">
      <c r="B600" s="9">
        <f t="shared" si="9"/>
        <v>596</v>
      </c>
      <c r="C600" s="12" t="s">
        <v>1089</v>
      </c>
    </row>
    <row r="601" spans="2:3" ht="13.5">
      <c r="B601" s="9">
        <f t="shared" si="9"/>
        <v>597</v>
      </c>
      <c r="C601" s="12" t="s">
        <v>553</v>
      </c>
    </row>
    <row r="602" spans="2:3" ht="13.5">
      <c r="B602" s="9">
        <f t="shared" si="9"/>
        <v>598</v>
      </c>
      <c r="C602" s="12" t="s">
        <v>554</v>
      </c>
    </row>
    <row r="603" spans="2:3" ht="13.5">
      <c r="B603" s="9">
        <f t="shared" si="9"/>
        <v>599</v>
      </c>
      <c r="C603" s="12" t="s">
        <v>555</v>
      </c>
    </row>
    <row r="604" spans="2:3" ht="13.5">
      <c r="B604" s="9">
        <f t="shared" si="9"/>
        <v>600</v>
      </c>
      <c r="C604" s="12" t="s">
        <v>1090</v>
      </c>
    </row>
    <row r="605" spans="2:3" ht="13.5">
      <c r="B605" s="9">
        <f t="shared" si="9"/>
        <v>601</v>
      </c>
      <c r="C605" s="12" t="s">
        <v>1091</v>
      </c>
    </row>
    <row r="606" spans="2:3" ht="13.5">
      <c r="B606" s="9">
        <f t="shared" si="9"/>
        <v>602</v>
      </c>
      <c r="C606" s="12" t="s">
        <v>556</v>
      </c>
    </row>
    <row r="607" spans="2:3" ht="13.5">
      <c r="B607" s="9">
        <f t="shared" si="9"/>
        <v>603</v>
      </c>
      <c r="C607" s="12" t="s">
        <v>1092</v>
      </c>
    </row>
    <row r="608" spans="2:3" ht="13.5">
      <c r="B608" s="9">
        <f t="shared" si="9"/>
        <v>604</v>
      </c>
      <c r="C608" s="12" t="s">
        <v>1093</v>
      </c>
    </row>
    <row r="609" spans="2:3" ht="13.5">
      <c r="B609" s="9">
        <f t="shared" si="9"/>
        <v>605</v>
      </c>
      <c r="C609" s="12" t="s">
        <v>309</v>
      </c>
    </row>
    <row r="610" spans="2:3" ht="13.5">
      <c r="B610" s="9">
        <f t="shared" si="9"/>
        <v>606</v>
      </c>
      <c r="C610" s="12" t="s">
        <v>557</v>
      </c>
    </row>
    <row r="611" spans="2:3" ht="13.5">
      <c r="B611" s="9">
        <f t="shared" si="9"/>
        <v>607</v>
      </c>
      <c r="C611" s="13"/>
    </row>
    <row r="612" spans="2:3" ht="13.5">
      <c r="B612" s="9">
        <f t="shared" si="9"/>
        <v>608</v>
      </c>
      <c r="C612" s="12"/>
    </row>
    <row r="613" spans="2:3" ht="13.5">
      <c r="B613" s="9">
        <f t="shared" si="9"/>
        <v>609</v>
      </c>
      <c r="C613" s="13"/>
    </row>
    <row r="614" spans="2:3" ht="13.5">
      <c r="B614" s="9">
        <f t="shared" si="9"/>
        <v>610</v>
      </c>
      <c r="C614" s="12"/>
    </row>
    <row r="615" spans="2:3" ht="13.5">
      <c r="B615" s="9">
        <f t="shared" si="9"/>
        <v>611</v>
      </c>
      <c r="C615" s="13"/>
    </row>
    <row r="616" spans="2:3" ht="13.5">
      <c r="B616" s="9">
        <f t="shared" si="9"/>
        <v>612</v>
      </c>
      <c r="C616" s="12"/>
    </row>
    <row r="617" spans="2:3" ht="13.5">
      <c r="B617" s="9">
        <f t="shared" si="9"/>
        <v>613</v>
      </c>
      <c r="C617" s="13"/>
    </row>
    <row r="618" spans="2:3" ht="13.5">
      <c r="B618" s="9">
        <f t="shared" si="9"/>
        <v>614</v>
      </c>
      <c r="C618" s="12"/>
    </row>
    <row r="619" spans="2:3" ht="13.5">
      <c r="B619" s="9">
        <f t="shared" si="9"/>
        <v>615</v>
      </c>
      <c r="C619" s="12"/>
    </row>
    <row r="620" spans="2:3" ht="13.5">
      <c r="B620" s="9">
        <f t="shared" si="9"/>
        <v>616</v>
      </c>
      <c r="C620" s="12"/>
    </row>
    <row r="621" spans="2:3" ht="13.5">
      <c r="B621" s="9">
        <f t="shared" si="9"/>
        <v>617</v>
      </c>
      <c r="C621" s="12"/>
    </row>
    <row r="622" spans="2:3" ht="13.5">
      <c r="B622" s="9">
        <f t="shared" si="9"/>
        <v>618</v>
      </c>
      <c r="C622" s="12"/>
    </row>
    <row r="623" spans="2:3" ht="13.5">
      <c r="B623" s="9">
        <f t="shared" si="9"/>
        <v>619</v>
      </c>
      <c r="C623" s="12"/>
    </row>
    <row r="624" spans="2:3" ht="13.5">
      <c r="B624" s="9">
        <f t="shared" si="9"/>
        <v>620</v>
      </c>
      <c r="C624" s="12"/>
    </row>
    <row r="625" spans="2:3" ht="13.5">
      <c r="B625" s="9">
        <f t="shared" si="9"/>
        <v>621</v>
      </c>
      <c r="C625" s="12"/>
    </row>
    <row r="626" spans="2:3" ht="13.5">
      <c r="B626" s="9">
        <f t="shared" si="9"/>
        <v>622</v>
      </c>
      <c r="C626" s="12"/>
    </row>
    <row r="627" spans="2:3" ht="13.5">
      <c r="B627" s="9">
        <f t="shared" si="9"/>
        <v>623</v>
      </c>
      <c r="C627" s="12"/>
    </row>
    <row r="628" spans="2:3" ht="13.5">
      <c r="B628" s="9">
        <f t="shared" si="9"/>
        <v>624</v>
      </c>
      <c r="C628" s="12"/>
    </row>
    <row r="629" spans="2:3" ht="13.5">
      <c r="B629" s="9">
        <f t="shared" si="9"/>
        <v>625</v>
      </c>
      <c r="C629" s="12"/>
    </row>
    <row r="630" spans="2:3" ht="13.5">
      <c r="B630" s="9">
        <f t="shared" si="9"/>
        <v>626</v>
      </c>
      <c r="C630" s="12"/>
    </row>
    <row r="631" spans="2:3" ht="13.5">
      <c r="B631" s="9">
        <f t="shared" si="9"/>
        <v>627</v>
      </c>
      <c r="C631" s="12"/>
    </row>
    <row r="632" spans="2:3" ht="13.5">
      <c r="B632" s="9">
        <f t="shared" si="9"/>
        <v>628</v>
      </c>
      <c r="C632" s="12"/>
    </row>
    <row r="633" spans="2:3" ht="13.5">
      <c r="B633" s="9">
        <f t="shared" si="9"/>
        <v>629</v>
      </c>
      <c r="C633" s="12"/>
    </row>
    <row r="634" spans="2:3" ht="13.5">
      <c r="B634" s="9">
        <f t="shared" si="9"/>
        <v>630</v>
      </c>
      <c r="C634" s="12"/>
    </row>
    <row r="635" spans="2:3" ht="13.5">
      <c r="B635" s="9">
        <f t="shared" si="9"/>
        <v>631</v>
      </c>
      <c r="C635" s="12"/>
    </row>
    <row r="636" spans="2:3" ht="13.5">
      <c r="B636" s="9">
        <f t="shared" si="9"/>
        <v>632</v>
      </c>
      <c r="C636" s="12"/>
    </row>
    <row r="637" spans="2:3" ht="13.5">
      <c r="B637" s="9">
        <f t="shared" si="9"/>
        <v>633</v>
      </c>
      <c r="C637" s="12"/>
    </row>
    <row r="638" spans="2:3" ht="13.5">
      <c r="B638" s="9">
        <f t="shared" si="9"/>
        <v>634</v>
      </c>
      <c r="C638" s="12"/>
    </row>
    <row r="639" spans="2:3" ht="13.5">
      <c r="B639" s="9">
        <f t="shared" si="9"/>
        <v>635</v>
      </c>
      <c r="C639" s="12"/>
    </row>
    <row r="640" spans="2:3" ht="13.5">
      <c r="B640" s="9">
        <f t="shared" si="9"/>
        <v>636</v>
      </c>
      <c r="C640" s="12"/>
    </row>
    <row r="641" spans="2:3" ht="13.5">
      <c r="B641" s="9">
        <f t="shared" si="9"/>
        <v>637</v>
      </c>
      <c r="C641" s="12"/>
    </row>
    <row r="642" spans="2:3" ht="13.5">
      <c r="B642" s="9">
        <f t="shared" si="9"/>
        <v>638</v>
      </c>
      <c r="C642" s="12"/>
    </row>
    <row r="643" spans="2:3" ht="13.5">
      <c r="B643" s="9">
        <f t="shared" si="9"/>
        <v>639</v>
      </c>
      <c r="C643" s="12"/>
    </row>
    <row r="644" spans="2:3" ht="13.5">
      <c r="B644" s="9">
        <f t="shared" si="9"/>
        <v>640</v>
      </c>
      <c r="C644" s="12"/>
    </row>
    <row r="645" spans="2:3" ht="13.5">
      <c r="B645" s="9">
        <f t="shared" si="9"/>
        <v>641</v>
      </c>
      <c r="C645" s="12"/>
    </row>
    <row r="646" spans="2:3" ht="13.5">
      <c r="B646" s="9">
        <f t="shared" si="9"/>
        <v>642</v>
      </c>
      <c r="C646" s="12"/>
    </row>
    <row r="647" spans="2:3" ht="13.5">
      <c r="B647" s="9">
        <f aca="true" t="shared" si="10" ref="B647:B654">B646+1</f>
        <v>643</v>
      </c>
      <c r="C647" s="12"/>
    </row>
    <row r="648" spans="2:3" ht="13.5">
      <c r="B648" s="9">
        <f t="shared" si="10"/>
        <v>644</v>
      </c>
      <c r="C648" s="12"/>
    </row>
    <row r="649" spans="2:3" ht="13.5">
      <c r="B649" s="9">
        <f t="shared" si="10"/>
        <v>645</v>
      </c>
      <c r="C649" s="12"/>
    </row>
    <row r="650" spans="2:3" ht="13.5">
      <c r="B650" s="9">
        <f t="shared" si="10"/>
        <v>646</v>
      </c>
      <c r="C650" s="12"/>
    </row>
    <row r="651" spans="2:3" ht="13.5">
      <c r="B651" s="9">
        <f t="shared" si="10"/>
        <v>647</v>
      </c>
      <c r="C651" s="12"/>
    </row>
    <row r="652" spans="2:3" ht="13.5">
      <c r="B652" s="9">
        <f t="shared" si="10"/>
        <v>648</v>
      </c>
      <c r="C652" s="12"/>
    </row>
    <row r="653" spans="2:3" ht="13.5">
      <c r="B653" s="9">
        <f t="shared" si="10"/>
        <v>649</v>
      </c>
      <c r="C653" s="12"/>
    </row>
    <row r="654" spans="2:3" ht="13.5">
      <c r="B654" s="9">
        <f t="shared" si="10"/>
        <v>650</v>
      </c>
      <c r="C654" s="12"/>
    </row>
  </sheetData>
  <sheetProtection sheet="1" objects="1" scenarios="1" sort="0"/>
  <mergeCells count="2">
    <mergeCell ref="A2:C2"/>
    <mergeCell ref="A3:C3"/>
  </mergeCells>
  <printOptions/>
  <pageMargins left="0.75" right="0.75" top="1" bottom="1" header="0.492125985" footer="0.492125985"/>
  <pageSetup horizontalDpi="300" verticalDpi="300" orientation="portrait" paperSize="9" r:id="rId2"/>
  <legacyDrawing r:id="rId1"/>
</worksheet>
</file>

<file path=xl/worksheets/sheet5.xml><?xml version="1.0" encoding="utf-8"?>
<worksheet xmlns="http://schemas.openxmlformats.org/spreadsheetml/2006/main" xmlns:r="http://schemas.openxmlformats.org/officeDocument/2006/relationships">
  <sheetPr codeName="Plan7"/>
  <dimension ref="B6:B10"/>
  <sheetViews>
    <sheetView showGridLines="0" showRowColHeaders="0" zoomScalePageLayoutView="0" workbookViewId="0" topLeftCell="A1">
      <selection activeCell="A1" sqref="A1"/>
    </sheetView>
  </sheetViews>
  <sheetFormatPr defaultColWidth="0" defaultRowHeight="12.75"/>
  <cols>
    <col min="1" max="10" width="9.140625" style="0" customWidth="1"/>
  </cols>
  <sheetData>
    <row r="6" ht="20.25">
      <c r="B6" s="20" t="s">
        <v>1160</v>
      </c>
    </row>
    <row r="8" ht="20.25">
      <c r="B8" s="20" t="s">
        <v>1161</v>
      </c>
    </row>
    <row r="10" ht="12.75">
      <c r="B10" s="19"/>
    </row>
  </sheetData>
  <sheetProtection/>
  <printOptions/>
  <pageMargins left="0.7874015748031497" right="0.7874015748031497" top="0.984251968503937" bottom="0.984251968503937" header="0.5118110236220472" footer="0.5118110236220472"/>
  <pageSetup horizontalDpi="300" verticalDpi="300" orientation="landscape" paperSize="9" r:id="rId2"/>
  <legacyDrawing r:id="rId1"/>
</worksheet>
</file>

<file path=xl/worksheets/sheet6.xml><?xml version="1.0" encoding="utf-8"?>
<worksheet xmlns="http://schemas.openxmlformats.org/spreadsheetml/2006/main" xmlns:r="http://schemas.openxmlformats.org/officeDocument/2006/relationships">
  <sheetPr codeName="Plan9"/>
  <dimension ref="B2:L56"/>
  <sheetViews>
    <sheetView showGridLines="0" showRowColHeaders="0" zoomScalePageLayoutView="0" workbookViewId="0" topLeftCell="A1">
      <selection activeCell="A1" sqref="A1"/>
    </sheetView>
  </sheetViews>
  <sheetFormatPr defaultColWidth="9.140625" defaultRowHeight="12.75"/>
  <cols>
    <col min="1" max="1" width="1.7109375" style="1" customWidth="1"/>
    <col min="2" max="2" width="1.1484375" style="1" customWidth="1"/>
    <col min="3" max="3" width="12.7109375" style="1" customWidth="1"/>
    <col min="4" max="4" width="16.7109375" style="1" customWidth="1"/>
    <col min="5" max="5" width="13.7109375" style="1" customWidth="1"/>
    <col min="6" max="6" width="5.7109375" style="1" customWidth="1"/>
    <col min="7" max="7" width="5.421875" style="1" customWidth="1"/>
    <col min="8" max="8" width="4.57421875" style="1" customWidth="1"/>
    <col min="9" max="9" width="15.7109375" style="1" customWidth="1"/>
    <col min="10" max="10" width="3.57421875" style="1" customWidth="1"/>
    <col min="11" max="11" width="9.7109375" style="1" customWidth="1"/>
    <col min="12" max="12" width="1.1484375" style="1" customWidth="1"/>
    <col min="13" max="16384" width="9.140625" style="1" customWidth="1"/>
  </cols>
  <sheetData>
    <row r="1" ht="6.75" customHeight="1"/>
    <row r="2" spans="2:11" ht="15.75">
      <c r="B2" s="546" t="s">
        <v>1246</v>
      </c>
      <c r="C2" s="546"/>
      <c r="D2" s="546"/>
      <c r="E2" s="546"/>
      <c r="F2" s="546"/>
      <c r="G2" s="546"/>
      <c r="H2" s="546"/>
      <c r="I2" s="546"/>
      <c r="J2" s="547"/>
      <c r="K2" s="547"/>
    </row>
    <row r="3" spans="2:11" ht="14.25">
      <c r="B3" s="548" t="s">
        <v>1247</v>
      </c>
      <c r="C3" s="548"/>
      <c r="D3" s="548"/>
      <c r="E3" s="548"/>
      <c r="F3" s="548"/>
      <c r="G3" s="548"/>
      <c r="H3" s="548"/>
      <c r="I3" s="548"/>
      <c r="J3" s="547"/>
      <c r="K3" s="547"/>
    </row>
    <row r="7" spans="2:8" ht="14.25">
      <c r="B7" s="25" t="s">
        <v>194</v>
      </c>
      <c r="C7" s="25"/>
      <c r="D7" s="549" t="str">
        <f>COMANDOBLOQUEADO!S19</f>
        <v>CESÁRIO LANGE</v>
      </c>
      <c r="E7" s="549"/>
      <c r="F7" s="549"/>
      <c r="G7" s="549"/>
      <c r="H7" s="549"/>
    </row>
    <row r="8" spans="2:3" ht="7.5" customHeight="1">
      <c r="B8" s="25"/>
      <c r="C8" s="25"/>
    </row>
    <row r="9" spans="2:10" ht="14.25">
      <c r="B9" s="25" t="s">
        <v>268</v>
      </c>
      <c r="C9" s="25"/>
      <c r="D9" s="5" t="str">
        <f>COMANDOBLOQUEADO!U6</f>
        <v>4º TRIMESTRE</v>
      </c>
      <c r="E9" s="551" t="s">
        <v>1251</v>
      </c>
      <c r="F9" s="536"/>
      <c r="G9" s="536"/>
      <c r="H9" s="345"/>
      <c r="I9" s="550" t="str">
        <f>COMANDOBLOQUEADO!Y6</f>
        <v>2009</v>
      </c>
      <c r="J9" s="550"/>
    </row>
    <row r="12" spans="2:10" ht="15.75">
      <c r="B12" s="546"/>
      <c r="C12" s="537"/>
      <c r="D12" s="537"/>
      <c r="E12" s="537"/>
      <c r="F12" s="537"/>
      <c r="G12" s="537"/>
      <c r="H12" s="537"/>
      <c r="I12" s="537"/>
      <c r="J12" s="537"/>
    </row>
    <row r="13" spans="2:10" ht="15.75">
      <c r="B13" s="546" t="s">
        <v>15</v>
      </c>
      <c r="C13" s="537"/>
      <c r="D13" s="537"/>
      <c r="E13" s="537"/>
      <c r="F13" s="537"/>
      <c r="G13" s="537"/>
      <c r="H13" s="537"/>
      <c r="I13" s="537"/>
      <c r="J13" s="537"/>
    </row>
    <row r="14" spans="2:10" ht="15.75">
      <c r="B14" s="28"/>
      <c r="C14" s="344"/>
      <c r="D14" s="344"/>
      <c r="E14" s="344"/>
      <c r="F14" s="344"/>
      <c r="G14" s="344"/>
      <c r="H14" s="344"/>
      <c r="I14" s="344"/>
      <c r="J14" s="344"/>
    </row>
    <row r="16" spans="2:12" ht="18" customHeight="1">
      <c r="B16" s="570" t="s">
        <v>43</v>
      </c>
      <c r="C16" s="570"/>
      <c r="D16" s="570"/>
      <c r="E16" s="570"/>
      <c r="F16" s="570"/>
      <c r="G16" s="570"/>
      <c r="H16" s="570"/>
      <c r="I16" s="570"/>
      <c r="J16" s="593"/>
      <c r="K16" s="582"/>
      <c r="L16" s="556"/>
    </row>
    <row r="17" spans="2:12" ht="17.25" customHeight="1">
      <c r="B17" s="570"/>
      <c r="C17" s="570"/>
      <c r="D17" s="570"/>
      <c r="E17" s="570"/>
      <c r="F17" s="570"/>
      <c r="G17" s="570"/>
      <c r="H17" s="570"/>
      <c r="I17" s="570"/>
      <c r="J17" s="593"/>
      <c r="K17" s="582"/>
      <c r="L17" s="556"/>
    </row>
    <row r="18" spans="2:12" ht="18" customHeight="1">
      <c r="B18" s="570"/>
      <c r="C18" s="570"/>
      <c r="D18" s="570"/>
      <c r="E18" s="570"/>
      <c r="F18" s="570"/>
      <c r="G18" s="570"/>
      <c r="H18" s="570"/>
      <c r="I18" s="570"/>
      <c r="J18" s="593"/>
      <c r="K18" s="582"/>
      <c r="L18" s="556"/>
    </row>
    <row r="19" spans="2:9" ht="13.5" thickBot="1">
      <c r="B19" s="26"/>
      <c r="C19" s="26"/>
      <c r="D19" s="26"/>
      <c r="E19" s="26"/>
      <c r="F19" s="26"/>
      <c r="G19" s="26"/>
      <c r="H19" s="26"/>
      <c r="I19" s="26"/>
    </row>
    <row r="20" spans="2:12" s="2" customFormat="1" ht="6.75" customHeight="1" thickBot="1">
      <c r="B20" s="399"/>
      <c r="C20" s="400"/>
      <c r="D20" s="401"/>
      <c r="E20" s="401"/>
      <c r="F20" s="401"/>
      <c r="G20" s="401"/>
      <c r="H20" s="401"/>
      <c r="I20" s="401"/>
      <c r="J20" s="401"/>
      <c r="K20" s="401"/>
      <c r="L20" s="402"/>
    </row>
    <row r="21" spans="2:12" s="2" customFormat="1" ht="15.75" thickTop="1">
      <c r="B21" s="403"/>
      <c r="C21" s="599" t="s">
        <v>44</v>
      </c>
      <c r="D21" s="600"/>
      <c r="E21" s="600"/>
      <c r="F21" s="601"/>
      <c r="G21" s="601"/>
      <c r="H21" s="605" t="s">
        <v>1273</v>
      </c>
      <c r="I21" s="606"/>
      <c r="J21" s="606"/>
      <c r="K21" s="597" t="s">
        <v>1108</v>
      </c>
      <c r="L21" s="404"/>
    </row>
    <row r="22" spans="2:12" s="2" customFormat="1" ht="15.75" thickBot="1">
      <c r="B22" s="403"/>
      <c r="C22" s="602"/>
      <c r="D22" s="603"/>
      <c r="E22" s="603"/>
      <c r="F22" s="604"/>
      <c r="G22" s="604"/>
      <c r="H22" s="528"/>
      <c r="I22" s="528"/>
      <c r="J22" s="528"/>
      <c r="K22" s="598"/>
      <c r="L22" s="404"/>
    </row>
    <row r="23" spans="2:12" s="2" customFormat="1" ht="9.75" customHeight="1" thickBot="1" thickTop="1">
      <c r="B23" s="403"/>
      <c r="C23" s="608"/>
      <c r="D23" s="609"/>
      <c r="E23" s="609"/>
      <c r="F23" s="595"/>
      <c r="G23" s="595"/>
      <c r="H23" s="595"/>
      <c r="I23" s="595"/>
      <c r="J23" s="17"/>
      <c r="K23" s="17"/>
      <c r="L23" s="404"/>
    </row>
    <row r="24" spans="2:12" s="2" customFormat="1" ht="15.75" thickTop="1">
      <c r="B24" s="403"/>
      <c r="C24" s="610" t="s">
        <v>45</v>
      </c>
      <c r="D24" s="611"/>
      <c r="E24" s="611"/>
      <c r="F24" s="347"/>
      <c r="G24" s="405"/>
      <c r="H24" s="612"/>
      <c r="I24" s="596"/>
      <c r="J24" s="596"/>
      <c r="K24" s="406"/>
      <c r="L24" s="404"/>
    </row>
    <row r="25" spans="2:12" s="2" customFormat="1" ht="15">
      <c r="B25" s="407"/>
      <c r="C25" s="529" t="s">
        <v>46</v>
      </c>
      <c r="D25" s="526"/>
      <c r="E25" s="526"/>
      <c r="F25" s="526"/>
      <c r="G25" s="526"/>
      <c r="H25" s="521">
        <f>RESUMO!G10</f>
        <v>14443360.939999998</v>
      </c>
      <c r="I25" s="526"/>
      <c r="J25" s="526"/>
      <c r="K25" s="408"/>
      <c r="L25" s="404"/>
    </row>
    <row r="26" spans="2:12" s="2" customFormat="1" ht="15.75" thickBot="1">
      <c r="B26" s="407"/>
      <c r="C26" s="523" t="s">
        <v>47</v>
      </c>
      <c r="D26" s="524"/>
      <c r="E26" s="524"/>
      <c r="F26" s="528"/>
      <c r="G26" s="528"/>
      <c r="H26" s="522">
        <f>RESUMO!G23</f>
        <v>1436121.48</v>
      </c>
      <c r="I26" s="528"/>
      <c r="J26" s="528"/>
      <c r="K26" s="409"/>
      <c r="L26" s="404"/>
    </row>
    <row r="27" spans="2:12" s="2" customFormat="1" ht="9.75" customHeight="1" thickBot="1" thickTop="1">
      <c r="B27" s="407"/>
      <c r="C27" s="595"/>
      <c r="D27" s="595"/>
      <c r="E27" s="595"/>
      <c r="F27" s="595"/>
      <c r="G27" s="595"/>
      <c r="H27" s="595"/>
      <c r="I27" s="595"/>
      <c r="J27" s="17"/>
      <c r="K27" s="17"/>
      <c r="L27" s="404"/>
    </row>
    <row r="28" spans="2:12" s="2" customFormat="1" ht="15.75" thickTop="1">
      <c r="B28" s="407"/>
      <c r="C28" s="519" t="s">
        <v>48</v>
      </c>
      <c r="D28" s="520"/>
      <c r="E28" s="520"/>
      <c r="F28" s="410"/>
      <c r="G28" s="411"/>
      <c r="H28" s="520"/>
      <c r="I28" s="596"/>
      <c r="J28" s="596"/>
      <c r="K28" s="412"/>
      <c r="L28" s="404"/>
    </row>
    <row r="29" spans="2:12" s="2" customFormat="1" ht="15.75" thickBot="1">
      <c r="B29" s="403"/>
      <c r="C29" s="531" t="s">
        <v>1137</v>
      </c>
      <c r="D29" s="532"/>
      <c r="E29" s="532"/>
      <c r="F29" s="533"/>
      <c r="G29" s="534"/>
      <c r="H29" s="607">
        <f>RESUMO!E58</f>
        <v>3933726.9099999997</v>
      </c>
      <c r="I29" s="533"/>
      <c r="J29" s="534"/>
      <c r="K29" s="478">
        <f>RESUMO!E59</f>
        <v>0.27235536980217573</v>
      </c>
      <c r="L29" s="404"/>
    </row>
    <row r="30" spans="2:12" s="2" customFormat="1" ht="9.75" customHeight="1" thickBot="1" thickTop="1">
      <c r="B30" s="403"/>
      <c r="C30" s="595"/>
      <c r="D30" s="595"/>
      <c r="E30" s="595"/>
      <c r="F30" s="595"/>
      <c r="G30" s="595"/>
      <c r="H30" s="595"/>
      <c r="I30" s="595"/>
      <c r="J30" s="17"/>
      <c r="K30" s="17"/>
      <c r="L30" s="404"/>
    </row>
    <row r="31" spans="2:12" s="2" customFormat="1" ht="15.75" thickTop="1">
      <c r="B31" s="403"/>
      <c r="C31" s="519" t="s">
        <v>1130</v>
      </c>
      <c r="D31" s="520"/>
      <c r="E31" s="520"/>
      <c r="F31" s="410"/>
      <c r="G31" s="411"/>
      <c r="H31" s="520"/>
      <c r="I31" s="596"/>
      <c r="J31" s="596"/>
      <c r="K31" s="406"/>
      <c r="L31" s="404"/>
    </row>
    <row r="32" spans="2:12" s="2" customFormat="1" ht="15">
      <c r="B32" s="403"/>
      <c r="C32" s="529" t="s">
        <v>1138</v>
      </c>
      <c r="D32" s="526"/>
      <c r="E32" s="526"/>
      <c r="F32" s="526"/>
      <c r="G32" s="526"/>
      <c r="H32" s="525">
        <f>RESUMO!G38</f>
        <v>6327634.34</v>
      </c>
      <c r="I32" s="526"/>
      <c r="J32" s="526"/>
      <c r="K32" s="408"/>
      <c r="L32" s="404"/>
    </row>
    <row r="33" spans="2:12" s="2" customFormat="1" ht="15">
      <c r="B33" s="403"/>
      <c r="C33" s="529" t="s">
        <v>1274</v>
      </c>
      <c r="D33" s="530"/>
      <c r="E33" s="530"/>
      <c r="F33" s="526"/>
      <c r="G33" s="526"/>
      <c r="H33" s="525">
        <f>RESUMO!E43</f>
        <v>3917126.48</v>
      </c>
      <c r="I33" s="526"/>
      <c r="J33" s="526"/>
      <c r="K33" s="477">
        <f>RESUMO!E44</f>
        <v>0.6190507019721371</v>
      </c>
      <c r="L33" s="404"/>
    </row>
    <row r="34" spans="2:12" s="2" customFormat="1" ht="15.75" thickBot="1">
      <c r="B34" s="403"/>
      <c r="C34" s="531" t="s">
        <v>51</v>
      </c>
      <c r="D34" s="532"/>
      <c r="E34" s="532"/>
      <c r="F34" s="533"/>
      <c r="G34" s="534"/>
      <c r="H34" s="527">
        <f>RESUMO!E45</f>
        <v>2380807.46</v>
      </c>
      <c r="I34" s="528"/>
      <c r="J34" s="528"/>
      <c r="K34" s="476">
        <f>RESUMO!E46</f>
        <v>0.37625553754738617</v>
      </c>
      <c r="L34" s="404"/>
    </row>
    <row r="35" spans="2:12" s="2" customFormat="1" ht="6.75" customHeight="1" thickBot="1" thickTop="1">
      <c r="B35" s="413"/>
      <c r="C35" s="397"/>
      <c r="D35" s="397"/>
      <c r="E35" s="397"/>
      <c r="F35" s="29"/>
      <c r="G35" s="398"/>
      <c r="H35" s="29"/>
      <c r="I35" s="398"/>
      <c r="J35" s="29"/>
      <c r="K35" s="29"/>
      <c r="L35" s="30"/>
    </row>
    <row r="36" spans="3:10" s="2" customFormat="1" ht="15">
      <c r="C36" s="17"/>
      <c r="D36" s="17"/>
      <c r="E36" s="17"/>
      <c r="F36" s="17"/>
      <c r="G36" s="17"/>
      <c r="H36" s="17"/>
      <c r="I36" s="17"/>
      <c r="J36" s="17"/>
    </row>
    <row r="37" spans="3:10" ht="15">
      <c r="C37" s="22"/>
      <c r="D37" s="22"/>
      <c r="E37" s="22"/>
      <c r="F37" s="22"/>
      <c r="G37" s="22"/>
      <c r="H37" s="22"/>
      <c r="I37" s="22"/>
      <c r="J37" s="22"/>
    </row>
    <row r="38" spans="3:11" ht="15">
      <c r="C38" s="535" t="str">
        <f>COMANDOBLOQUEADO!S19</f>
        <v>CESÁRIO LANGE</v>
      </c>
      <c r="D38" s="535"/>
      <c r="E38" s="535"/>
      <c r="F38" s="22" t="s">
        <v>1131</v>
      </c>
      <c r="G38" s="346">
        <v>14</v>
      </c>
      <c r="H38" s="18" t="s">
        <v>1132</v>
      </c>
      <c r="I38" s="396" t="s">
        <v>1233</v>
      </c>
      <c r="J38" s="22" t="s">
        <v>1132</v>
      </c>
      <c r="K38" s="12" t="s">
        <v>977</v>
      </c>
    </row>
    <row r="39" spans="3:10" ht="15">
      <c r="C39" s="24"/>
      <c r="D39" s="24"/>
      <c r="E39" s="24"/>
      <c r="F39" s="22"/>
      <c r="G39" s="22"/>
      <c r="H39" s="22"/>
      <c r="I39" s="22"/>
      <c r="J39" s="22"/>
    </row>
    <row r="40" spans="3:10" ht="15">
      <c r="C40" s="24"/>
      <c r="D40" s="24"/>
      <c r="E40" s="24"/>
      <c r="F40" s="22"/>
      <c r="G40" s="22"/>
      <c r="H40" s="22"/>
      <c r="I40" s="22"/>
      <c r="J40" s="22"/>
    </row>
    <row r="41" spans="3:10" ht="15">
      <c r="C41" s="22"/>
      <c r="D41" s="22"/>
      <c r="E41" s="22"/>
      <c r="F41" s="22"/>
      <c r="G41" s="22"/>
      <c r="H41" s="22"/>
      <c r="I41" s="22"/>
      <c r="J41" s="22"/>
    </row>
    <row r="42" spans="3:10" ht="15">
      <c r="C42" s="22"/>
      <c r="D42" s="22"/>
      <c r="E42" s="22"/>
      <c r="F42" s="22"/>
      <c r="G42" s="22"/>
      <c r="H42" s="22"/>
      <c r="I42" s="22"/>
      <c r="J42" s="22"/>
    </row>
    <row r="43" spans="3:11" ht="15">
      <c r="C43" s="540" t="s">
        <v>52</v>
      </c>
      <c r="D43" s="540"/>
      <c r="E43" s="549"/>
      <c r="F43" s="540" t="s">
        <v>1133</v>
      </c>
      <c r="G43" s="541"/>
      <c r="H43" s="541"/>
      <c r="I43" s="541"/>
      <c r="J43" s="541"/>
      <c r="K43" s="541"/>
    </row>
    <row r="44" spans="3:11" ht="15">
      <c r="C44" s="542" t="s">
        <v>974</v>
      </c>
      <c r="D44" s="542"/>
      <c r="E44" s="543"/>
      <c r="F44" s="544" t="s">
        <v>975</v>
      </c>
      <c r="G44" s="544"/>
      <c r="H44" s="544"/>
      <c r="I44" s="545"/>
      <c r="J44" s="545"/>
      <c r="K44" s="545"/>
    </row>
    <row r="45" spans="3:11" ht="15">
      <c r="C45" s="539" t="s">
        <v>1135</v>
      </c>
      <c r="D45" s="539"/>
      <c r="E45" s="549"/>
      <c r="F45" s="540" t="s">
        <v>1134</v>
      </c>
      <c r="G45" s="540"/>
      <c r="H45" s="540"/>
      <c r="I45" s="541"/>
      <c r="J45" s="541"/>
      <c r="K45" s="541"/>
    </row>
    <row r="46" spans="3:11" ht="15">
      <c r="C46" s="539"/>
      <c r="D46" s="539"/>
      <c r="E46" s="539"/>
      <c r="F46" s="539"/>
      <c r="G46" s="541"/>
      <c r="H46" s="541"/>
      <c r="I46" s="541"/>
      <c r="J46" s="541"/>
      <c r="K46" s="541"/>
    </row>
    <row r="47" spans="3:10" ht="15">
      <c r="C47" s="22"/>
      <c r="D47" s="22"/>
      <c r="E47" s="22"/>
      <c r="F47" s="22"/>
      <c r="G47" s="22"/>
      <c r="H47" s="22"/>
      <c r="I47" s="22"/>
      <c r="J47" s="22"/>
    </row>
    <row r="48" spans="3:10" ht="15">
      <c r="C48" s="22"/>
      <c r="D48" s="22"/>
      <c r="E48" s="22"/>
      <c r="F48" s="22"/>
      <c r="G48" s="22"/>
      <c r="H48" s="22"/>
      <c r="I48" s="22"/>
      <c r="J48" s="22"/>
    </row>
    <row r="49" spans="3:11" ht="15">
      <c r="C49" s="540" t="s">
        <v>52</v>
      </c>
      <c r="D49" s="540"/>
      <c r="E49" s="549"/>
      <c r="F49" s="540" t="s">
        <v>1133</v>
      </c>
      <c r="G49" s="541"/>
      <c r="H49" s="541"/>
      <c r="I49" s="541"/>
      <c r="J49" s="541"/>
      <c r="K49" s="541"/>
    </row>
    <row r="50" spans="3:11" ht="15">
      <c r="C50" s="542" t="s">
        <v>976</v>
      </c>
      <c r="D50" s="542"/>
      <c r="E50" s="543"/>
      <c r="F50" s="544"/>
      <c r="G50" s="544"/>
      <c r="H50" s="544"/>
      <c r="I50" s="545"/>
      <c r="J50" s="545"/>
      <c r="K50" s="545"/>
    </row>
    <row r="51" spans="3:11" ht="15">
      <c r="C51" s="539" t="s">
        <v>1136</v>
      </c>
      <c r="D51" s="539"/>
      <c r="E51" s="549"/>
      <c r="F51" s="539" t="s">
        <v>1139</v>
      </c>
      <c r="G51" s="539"/>
      <c r="H51" s="539"/>
      <c r="I51" s="539"/>
      <c r="J51" s="539"/>
      <c r="K51" s="539"/>
    </row>
    <row r="52" spans="3:11" ht="15">
      <c r="C52" s="538"/>
      <c r="D52" s="572"/>
      <c r="E52" s="572"/>
      <c r="F52" s="539"/>
      <c r="G52" s="572"/>
      <c r="H52" s="572"/>
      <c r="I52" s="572"/>
      <c r="J52" s="572"/>
      <c r="K52" s="572"/>
    </row>
    <row r="53" spans="3:10" ht="15">
      <c r="C53" s="22"/>
      <c r="D53" s="22"/>
      <c r="E53" s="22"/>
      <c r="F53" s="22"/>
      <c r="G53" s="22"/>
      <c r="H53" s="22"/>
      <c r="I53" s="22"/>
      <c r="J53" s="22"/>
    </row>
    <row r="54" spans="3:9" ht="15.75">
      <c r="C54" s="4"/>
      <c r="D54" s="4"/>
      <c r="E54" s="4"/>
      <c r="F54" s="4"/>
      <c r="G54" s="4"/>
      <c r="H54" s="4"/>
      <c r="I54" s="4"/>
    </row>
    <row r="55" spans="3:9" ht="15.75">
      <c r="C55" s="4"/>
      <c r="D55" s="4"/>
      <c r="E55" s="4"/>
      <c r="F55" s="4"/>
      <c r="G55" s="4"/>
      <c r="H55" s="4"/>
      <c r="I55" s="4"/>
    </row>
    <row r="56" spans="3:9" ht="15.75">
      <c r="C56" s="4"/>
      <c r="D56" s="4"/>
      <c r="E56" s="4"/>
      <c r="F56" s="4"/>
      <c r="G56" s="4"/>
      <c r="H56" s="4"/>
      <c r="I56" s="4"/>
    </row>
  </sheetData>
  <sheetProtection password="DEF0" sheet="1" objects="1" scenarios="1"/>
  <mergeCells count="49">
    <mergeCell ref="K21:K22"/>
    <mergeCell ref="C21:G22"/>
    <mergeCell ref="H21:J22"/>
    <mergeCell ref="H29:J29"/>
    <mergeCell ref="C23:I23"/>
    <mergeCell ref="C24:E24"/>
    <mergeCell ref="C28:E28"/>
    <mergeCell ref="H28:J28"/>
    <mergeCell ref="C25:G25"/>
    <mergeCell ref="H24:J24"/>
    <mergeCell ref="C32:G32"/>
    <mergeCell ref="H25:J25"/>
    <mergeCell ref="H26:J26"/>
    <mergeCell ref="C26:G26"/>
    <mergeCell ref="C29:G29"/>
    <mergeCell ref="C31:E31"/>
    <mergeCell ref="C30:I30"/>
    <mergeCell ref="H31:J31"/>
    <mergeCell ref="C27:I27"/>
    <mergeCell ref="H32:J32"/>
    <mergeCell ref="C46:E46"/>
    <mergeCell ref="F46:K46"/>
    <mergeCell ref="C38:E38"/>
    <mergeCell ref="C43:E43"/>
    <mergeCell ref="C44:E44"/>
    <mergeCell ref="F43:K43"/>
    <mergeCell ref="H33:J33"/>
    <mergeCell ref="H34:J34"/>
    <mergeCell ref="C45:E45"/>
    <mergeCell ref="F44:K44"/>
    <mergeCell ref="F45:K45"/>
    <mergeCell ref="C33:G33"/>
    <mergeCell ref="C34:G34"/>
    <mergeCell ref="C52:E52"/>
    <mergeCell ref="F52:K52"/>
    <mergeCell ref="F51:K51"/>
    <mergeCell ref="C49:E49"/>
    <mergeCell ref="F49:K49"/>
    <mergeCell ref="C50:E50"/>
    <mergeCell ref="F50:K50"/>
    <mergeCell ref="C51:E51"/>
    <mergeCell ref="B16:L18"/>
    <mergeCell ref="B2:K2"/>
    <mergeCell ref="B3:K3"/>
    <mergeCell ref="D7:H7"/>
    <mergeCell ref="I9:J9"/>
    <mergeCell ref="E9:G9"/>
    <mergeCell ref="B12:J12"/>
    <mergeCell ref="B13:J13"/>
  </mergeCells>
  <printOptions/>
  <pageMargins left="0.94" right="0.23" top="0.93" bottom="0.77" header="0.492125985" footer="0.492125985"/>
  <pageSetup horizontalDpi="180" verticalDpi="180" orientation="portrait" paperSize="9" scale="95" r:id="rId2"/>
  <legacyDrawing r:id="rId1"/>
</worksheet>
</file>

<file path=xl/worksheets/sheet7.xml><?xml version="1.0" encoding="utf-8"?>
<worksheet xmlns="http://schemas.openxmlformats.org/spreadsheetml/2006/main" xmlns:r="http://schemas.openxmlformats.org/officeDocument/2006/relationships">
  <sheetPr codeName="Plan15"/>
  <dimension ref="A1:O34"/>
  <sheetViews>
    <sheetView showGridLines="0" showRowColHeaders="0" tabSelected="1" zoomScalePageLayoutView="0" workbookViewId="0" topLeftCell="A1">
      <selection activeCell="B2" sqref="B2"/>
    </sheetView>
  </sheetViews>
  <sheetFormatPr defaultColWidth="9.140625" defaultRowHeight="12.75"/>
  <cols>
    <col min="1" max="1" width="0.85546875" style="289" customWidth="1"/>
    <col min="2" max="2" width="3.7109375" style="289" customWidth="1"/>
    <col min="3" max="3" width="0.5625" style="289" customWidth="1"/>
    <col min="4" max="5" width="5.7109375" style="289" customWidth="1"/>
    <col min="6" max="6" width="12.7109375" style="289" customWidth="1"/>
    <col min="7" max="7" width="13.7109375" style="289" customWidth="1"/>
    <col min="8" max="8" width="12.7109375" style="289" customWidth="1"/>
    <col min="9" max="9" width="0.5625" style="289" customWidth="1"/>
    <col min="10" max="10" width="11.7109375" style="289" customWidth="1"/>
    <col min="11" max="11" width="15.7109375" style="289" customWidth="1"/>
    <col min="12" max="12" width="10.7109375" style="289" customWidth="1"/>
    <col min="13" max="13" width="13.7109375" style="289" customWidth="1"/>
    <col min="14" max="14" width="0.5625" style="289" customWidth="1"/>
    <col min="15" max="15" width="13.7109375" style="289" customWidth="1"/>
    <col min="16" max="16384" width="9.140625" style="289" customWidth="1"/>
  </cols>
  <sheetData>
    <row r="1" spans="1:15" ht="3" customHeight="1">
      <c r="A1" s="294"/>
      <c r="B1" s="295"/>
      <c r="C1" s="295"/>
      <c r="D1" s="296"/>
      <c r="E1" s="296"/>
      <c r="F1" s="296"/>
      <c r="G1" s="297"/>
      <c r="H1" s="297"/>
      <c r="I1" s="297"/>
      <c r="J1" s="297"/>
      <c r="K1" s="297"/>
      <c r="L1" s="297"/>
      <c r="M1" s="297"/>
      <c r="N1" s="297"/>
      <c r="O1" s="297"/>
    </row>
    <row r="2" spans="1:15" ht="9" customHeight="1">
      <c r="A2" s="298"/>
      <c r="B2" s="299"/>
      <c r="C2" s="299"/>
      <c r="D2" s="299"/>
      <c r="E2" s="616" t="s">
        <v>177</v>
      </c>
      <c r="F2" s="616"/>
      <c r="G2" s="616"/>
      <c r="H2" s="616"/>
      <c r="I2" s="616"/>
      <c r="J2" s="616"/>
      <c r="K2" s="616"/>
      <c r="L2" s="616"/>
      <c r="M2" s="616"/>
      <c r="N2" s="616"/>
      <c r="O2" s="616"/>
    </row>
    <row r="3" spans="1:15" ht="9" customHeight="1">
      <c r="A3" s="298"/>
      <c r="B3" s="299"/>
      <c r="C3" s="299"/>
      <c r="D3" s="299"/>
      <c r="E3" s="616"/>
      <c r="F3" s="616"/>
      <c r="G3" s="616"/>
      <c r="H3" s="616"/>
      <c r="I3" s="616"/>
      <c r="J3" s="616"/>
      <c r="K3" s="616"/>
      <c r="L3" s="616"/>
      <c r="M3" s="616"/>
      <c r="N3" s="616"/>
      <c r="O3" s="616"/>
    </row>
    <row r="4" spans="1:15" ht="21.75" customHeight="1">
      <c r="A4" s="298"/>
      <c r="B4" s="299"/>
      <c r="C4" s="299"/>
      <c r="D4" s="299"/>
      <c r="E4" s="617" t="s">
        <v>178</v>
      </c>
      <c r="F4" s="617"/>
      <c r="G4" s="617"/>
      <c r="H4" s="617"/>
      <c r="I4" s="617"/>
      <c r="J4" s="617"/>
      <c r="K4" s="617"/>
      <c r="L4" s="617"/>
      <c r="M4" s="617"/>
      <c r="N4" s="617"/>
      <c r="O4" s="300"/>
    </row>
    <row r="5" spans="1:15" ht="3.75" customHeight="1">
      <c r="A5" s="298"/>
      <c r="B5" s="301"/>
      <c r="C5" s="301"/>
      <c r="D5" s="301"/>
      <c r="E5" s="615"/>
      <c r="F5" s="615"/>
      <c r="G5" s="615"/>
      <c r="H5" s="615"/>
      <c r="I5" s="615"/>
      <c r="J5" s="615"/>
      <c r="K5" s="615"/>
      <c r="L5" s="615"/>
      <c r="M5" s="615"/>
      <c r="N5" s="615"/>
      <c r="O5" s="302"/>
    </row>
    <row r="6" spans="1:15" ht="3" customHeight="1">
      <c r="A6" s="298"/>
      <c r="B6" s="301"/>
      <c r="C6" s="312"/>
      <c r="D6" s="312"/>
      <c r="E6" s="313"/>
      <c r="F6" s="313"/>
      <c r="G6" s="313"/>
      <c r="H6" s="313"/>
      <c r="I6" s="313"/>
      <c r="J6" s="313"/>
      <c r="K6" s="313"/>
      <c r="L6" s="313"/>
      <c r="M6" s="313"/>
      <c r="N6" s="313"/>
      <c r="O6" s="303"/>
    </row>
    <row r="7" spans="1:15" ht="15" customHeight="1">
      <c r="A7" s="298"/>
      <c r="B7" s="299"/>
      <c r="C7" s="311"/>
      <c r="D7" s="613" t="s">
        <v>49</v>
      </c>
      <c r="E7" s="614"/>
      <c r="F7" s="614"/>
      <c r="G7" s="348"/>
      <c r="H7" s="613" t="s">
        <v>30</v>
      </c>
      <c r="I7" s="613"/>
      <c r="J7" s="614"/>
      <c r="K7" s="614"/>
      <c r="L7" s="618" t="s">
        <v>31</v>
      </c>
      <c r="M7" s="619"/>
      <c r="N7" s="314"/>
      <c r="O7" s="302"/>
    </row>
    <row r="8" spans="1:15" ht="3" customHeight="1">
      <c r="A8" s="298"/>
      <c r="B8" s="299"/>
      <c r="C8" s="311"/>
      <c r="D8" s="365"/>
      <c r="E8" s="366"/>
      <c r="F8" s="348"/>
      <c r="G8" s="348"/>
      <c r="H8" s="348"/>
      <c r="I8" s="366"/>
      <c r="J8" s="348"/>
      <c r="K8" s="348"/>
      <c r="L8" s="348"/>
      <c r="M8" s="348"/>
      <c r="N8" s="315"/>
      <c r="O8" s="302"/>
    </row>
    <row r="9" spans="1:15" ht="12" customHeight="1">
      <c r="A9" s="298"/>
      <c r="B9" s="299"/>
      <c r="C9" s="311"/>
      <c r="D9" s="365"/>
      <c r="E9" s="366"/>
      <c r="F9" s="348"/>
      <c r="G9" s="367"/>
      <c r="H9" s="368"/>
      <c r="I9" s="368"/>
      <c r="J9" s="348"/>
      <c r="K9" s="348"/>
      <c r="L9" s="348"/>
      <c r="M9" s="348"/>
      <c r="N9" s="315"/>
      <c r="O9" s="302"/>
    </row>
    <row r="10" spans="1:15" ht="6.75" customHeight="1">
      <c r="A10" s="298"/>
      <c r="B10" s="299"/>
      <c r="C10" s="311"/>
      <c r="D10" s="365"/>
      <c r="E10" s="366"/>
      <c r="F10" s="348"/>
      <c r="G10" s="348"/>
      <c r="H10" s="369"/>
      <c r="I10" s="366"/>
      <c r="J10" s="348"/>
      <c r="K10" s="348"/>
      <c r="L10" s="348"/>
      <c r="M10" s="348"/>
      <c r="N10" s="315"/>
      <c r="O10" s="302"/>
    </row>
    <row r="11" spans="1:15" ht="15" customHeight="1">
      <c r="A11" s="298"/>
      <c r="B11" s="299"/>
      <c r="C11" s="311"/>
      <c r="D11" s="613" t="s">
        <v>29</v>
      </c>
      <c r="E11" s="614"/>
      <c r="F11" s="614"/>
      <c r="G11" s="614"/>
      <c r="H11" s="614"/>
      <c r="I11" s="368"/>
      <c r="J11" s="368"/>
      <c r="K11" s="348"/>
      <c r="L11" s="348"/>
      <c r="M11" s="348"/>
      <c r="N11" s="315"/>
      <c r="O11" s="302"/>
    </row>
    <row r="12" spans="1:15" ht="3" customHeight="1">
      <c r="A12" s="298"/>
      <c r="B12" s="299"/>
      <c r="C12" s="311"/>
      <c r="D12" s="365"/>
      <c r="E12" s="366"/>
      <c r="F12" s="348"/>
      <c r="G12" s="368"/>
      <c r="H12" s="368"/>
      <c r="I12" s="368"/>
      <c r="J12" s="370"/>
      <c r="K12" s="348"/>
      <c r="L12" s="348"/>
      <c r="M12" s="348"/>
      <c r="N12" s="315"/>
      <c r="O12" s="302"/>
    </row>
    <row r="13" spans="1:15" ht="12" customHeight="1">
      <c r="A13" s="298"/>
      <c r="B13" s="299"/>
      <c r="C13" s="311"/>
      <c r="D13" s="365"/>
      <c r="E13" s="368"/>
      <c r="F13" s="368"/>
      <c r="G13" s="368"/>
      <c r="H13" s="366"/>
      <c r="I13" s="366"/>
      <c r="J13" s="371"/>
      <c r="K13" s="371"/>
      <c r="L13" s="372">
        <v>25</v>
      </c>
      <c r="M13" s="369" t="str">
        <f>IF(COMANDOBLOQUEADO!AA17=2,"%","%")</f>
        <v>%</v>
      </c>
      <c r="N13" s="316"/>
      <c r="O13" s="302"/>
    </row>
    <row r="14" spans="1:15" ht="9.75" customHeight="1">
      <c r="A14" s="298"/>
      <c r="B14" s="299"/>
      <c r="C14" s="311"/>
      <c r="D14" s="365"/>
      <c r="E14" s="368"/>
      <c r="F14" s="368"/>
      <c r="G14" s="368"/>
      <c r="H14" s="371"/>
      <c r="I14" s="371"/>
      <c r="J14" s="371"/>
      <c r="K14" s="348"/>
      <c r="L14" s="348"/>
      <c r="M14" s="348"/>
      <c r="N14" s="315"/>
      <c r="O14" s="302"/>
    </row>
    <row r="15" spans="1:15" ht="3" customHeight="1">
      <c r="A15" s="298"/>
      <c r="B15" s="299"/>
      <c r="C15" s="312"/>
      <c r="D15" s="312"/>
      <c r="E15" s="313"/>
      <c r="F15" s="313"/>
      <c r="G15" s="313"/>
      <c r="H15" s="313"/>
      <c r="I15" s="313"/>
      <c r="J15" s="313"/>
      <c r="K15" s="313"/>
      <c r="L15" s="313"/>
      <c r="M15" s="313"/>
      <c r="N15" s="313"/>
      <c r="O15" s="302"/>
    </row>
    <row r="16" spans="1:15" ht="6" customHeight="1">
      <c r="A16" s="298"/>
      <c r="B16" s="299"/>
      <c r="C16" s="299"/>
      <c r="D16" s="615"/>
      <c r="E16" s="615"/>
      <c r="F16" s="615"/>
      <c r="G16" s="615"/>
      <c r="H16" s="615"/>
      <c r="I16" s="615"/>
      <c r="J16" s="615"/>
      <c r="K16" s="615"/>
      <c r="L16" s="615"/>
      <c r="M16" s="615"/>
      <c r="N16" s="291"/>
      <c r="O16" s="304"/>
    </row>
    <row r="17" spans="1:15" ht="3" customHeight="1">
      <c r="A17" s="298"/>
      <c r="B17" s="299"/>
      <c r="C17" s="312"/>
      <c r="D17" s="312"/>
      <c r="E17" s="313"/>
      <c r="F17" s="313"/>
      <c r="G17" s="313"/>
      <c r="H17" s="313"/>
      <c r="I17" s="313"/>
      <c r="J17" s="313"/>
      <c r="K17" s="313"/>
      <c r="L17" s="313"/>
      <c r="M17" s="313"/>
      <c r="N17" s="313"/>
      <c r="O17" s="304"/>
    </row>
    <row r="18" spans="1:15" ht="6" customHeight="1">
      <c r="A18" s="298"/>
      <c r="B18" s="299"/>
      <c r="C18" s="311"/>
      <c r="D18" s="373"/>
      <c r="E18" s="374"/>
      <c r="F18" s="375"/>
      <c r="G18" s="375"/>
      <c r="H18" s="375"/>
      <c r="I18" s="375"/>
      <c r="J18" s="375"/>
      <c r="K18" s="376"/>
      <c r="L18" s="376"/>
      <c r="M18" s="376"/>
      <c r="N18" s="318"/>
      <c r="O18" s="306"/>
    </row>
    <row r="19" spans="1:15" ht="19.5" customHeight="1">
      <c r="A19" s="298"/>
      <c r="B19" s="299"/>
      <c r="C19" s="311"/>
      <c r="D19" s="373"/>
      <c r="E19" s="374"/>
      <c r="F19" s="377" t="s">
        <v>167</v>
      </c>
      <c r="G19" s="378"/>
      <c r="H19" s="379"/>
      <c r="I19" s="380"/>
      <c r="J19" s="381"/>
      <c r="K19" s="381" t="s">
        <v>172</v>
      </c>
      <c r="L19" s="381"/>
      <c r="M19" s="381"/>
      <c r="N19" s="319"/>
      <c r="O19" s="308"/>
    </row>
    <row r="20" spans="1:15" ht="19.5" customHeight="1">
      <c r="A20" s="298"/>
      <c r="B20" s="299"/>
      <c r="C20" s="311"/>
      <c r="D20" s="373"/>
      <c r="E20" s="382"/>
      <c r="F20" s="377" t="s">
        <v>168</v>
      </c>
      <c r="G20" s="378"/>
      <c r="H20" s="379"/>
      <c r="I20" s="380"/>
      <c r="J20" s="383"/>
      <c r="K20" s="381" t="s">
        <v>173</v>
      </c>
      <c r="L20" s="384"/>
      <c r="M20" s="384"/>
      <c r="N20" s="319"/>
      <c r="O20" s="308"/>
    </row>
    <row r="21" spans="1:15" ht="19.5" customHeight="1">
      <c r="A21" s="298"/>
      <c r="B21" s="299"/>
      <c r="C21" s="311"/>
      <c r="D21" s="385"/>
      <c r="E21" s="386"/>
      <c r="F21" s="383" t="s">
        <v>73</v>
      </c>
      <c r="G21" s="379"/>
      <c r="H21" s="379"/>
      <c r="I21" s="387"/>
      <c r="J21" s="388"/>
      <c r="K21" s="383" t="s">
        <v>26</v>
      </c>
      <c r="L21" s="384"/>
      <c r="M21" s="384"/>
      <c r="N21" s="319"/>
      <c r="O21" s="308"/>
    </row>
    <row r="22" spans="1:15" ht="19.5" customHeight="1">
      <c r="A22" s="298"/>
      <c r="B22" s="299"/>
      <c r="C22" s="311"/>
      <c r="D22" s="385"/>
      <c r="E22" s="386"/>
      <c r="F22" s="383" t="s">
        <v>169</v>
      </c>
      <c r="G22" s="379"/>
      <c r="H22" s="379"/>
      <c r="I22" s="387"/>
      <c r="J22" s="374"/>
      <c r="K22" s="383" t="s">
        <v>174</v>
      </c>
      <c r="L22" s="389"/>
      <c r="M22" s="389"/>
      <c r="N22" s="319"/>
      <c r="O22" s="308"/>
    </row>
    <row r="23" spans="1:15" ht="19.5" customHeight="1">
      <c r="A23" s="298"/>
      <c r="B23" s="299"/>
      <c r="C23" s="311"/>
      <c r="D23" s="390"/>
      <c r="E23" s="386"/>
      <c r="F23" s="383" t="s">
        <v>170</v>
      </c>
      <c r="G23" s="379"/>
      <c r="H23" s="379"/>
      <c r="I23" s="379"/>
      <c r="J23" s="387"/>
      <c r="K23" s="383" t="s">
        <v>121</v>
      </c>
      <c r="L23" s="389"/>
      <c r="M23" s="389"/>
      <c r="N23" s="319"/>
      <c r="O23" s="308"/>
    </row>
    <row r="24" spans="1:15" ht="19.5" customHeight="1">
      <c r="A24" s="298"/>
      <c r="B24" s="299"/>
      <c r="C24" s="311"/>
      <c r="D24" s="373"/>
      <c r="E24" s="391"/>
      <c r="F24" s="383" t="s">
        <v>171</v>
      </c>
      <c r="G24" s="379"/>
      <c r="H24" s="379"/>
      <c r="I24" s="379"/>
      <c r="J24" s="386"/>
      <c r="K24" s="391" t="s">
        <v>27</v>
      </c>
      <c r="L24" s="389"/>
      <c r="M24" s="389"/>
      <c r="N24" s="319"/>
      <c r="O24" s="308"/>
    </row>
    <row r="25" spans="1:15" ht="19.5" customHeight="1">
      <c r="A25" s="298"/>
      <c r="B25" s="305"/>
      <c r="C25" s="317"/>
      <c r="D25" s="373"/>
      <c r="E25" s="391"/>
      <c r="F25" s="392" t="s">
        <v>175</v>
      </c>
      <c r="G25" s="380"/>
      <c r="H25" s="380"/>
      <c r="I25" s="380"/>
      <c r="J25" s="380"/>
      <c r="K25" s="393" t="s">
        <v>176</v>
      </c>
      <c r="L25" s="386"/>
      <c r="M25" s="394"/>
      <c r="N25" s="319"/>
      <c r="O25" s="308"/>
    </row>
    <row r="26" spans="1:15" ht="6.75" customHeight="1">
      <c r="A26" s="298"/>
      <c r="B26" s="305"/>
      <c r="C26" s="317"/>
      <c r="D26" s="373"/>
      <c r="E26" s="391"/>
      <c r="F26" s="395"/>
      <c r="G26" s="375"/>
      <c r="H26" s="375"/>
      <c r="I26" s="375"/>
      <c r="J26" s="375"/>
      <c r="K26" s="376"/>
      <c r="L26" s="376"/>
      <c r="M26" s="376"/>
      <c r="N26" s="318"/>
      <c r="O26" s="306"/>
    </row>
    <row r="27" spans="1:15" ht="3" customHeight="1">
      <c r="A27" s="298"/>
      <c r="B27" s="305"/>
      <c r="C27" s="312"/>
      <c r="D27" s="312"/>
      <c r="E27" s="313"/>
      <c r="F27" s="313"/>
      <c r="G27" s="313"/>
      <c r="H27" s="313"/>
      <c r="I27" s="313"/>
      <c r="J27" s="313"/>
      <c r="K27" s="313"/>
      <c r="L27" s="313"/>
      <c r="M27" s="313"/>
      <c r="N27" s="313"/>
      <c r="O27" s="306"/>
    </row>
    <row r="28" spans="1:15" ht="15" customHeight="1">
      <c r="A28" s="298"/>
      <c r="B28" s="299"/>
      <c r="C28" s="299"/>
      <c r="D28" s="306"/>
      <c r="E28" s="307"/>
      <c r="F28" s="310"/>
      <c r="G28" s="306"/>
      <c r="H28" s="306"/>
      <c r="I28" s="306"/>
      <c r="J28" s="306"/>
      <c r="K28" s="306"/>
      <c r="L28" s="306"/>
      <c r="M28" s="306"/>
      <c r="N28" s="306"/>
      <c r="O28" s="306"/>
    </row>
    <row r="29" spans="1:15" ht="12.75">
      <c r="A29" s="309"/>
      <c r="B29" s="309"/>
      <c r="C29" s="309"/>
      <c r="D29" s="309"/>
      <c r="E29" s="309"/>
      <c r="F29" s="309"/>
      <c r="G29" s="309"/>
      <c r="H29" s="309"/>
      <c r="I29" s="309"/>
      <c r="J29" s="309"/>
      <c r="K29" s="309"/>
      <c r="L29" s="309"/>
      <c r="M29" s="309"/>
      <c r="N29" s="309"/>
      <c r="O29" s="309"/>
    </row>
    <row r="30" spans="1:15" ht="12.75">
      <c r="A30" s="309"/>
      <c r="B30" s="309"/>
      <c r="C30" s="309"/>
      <c r="D30" s="309"/>
      <c r="E30" s="309"/>
      <c r="F30" s="309"/>
      <c r="G30" s="309"/>
      <c r="H30" s="309"/>
      <c r="I30" s="309"/>
      <c r="J30" s="309"/>
      <c r="K30" s="309"/>
      <c r="L30" s="309"/>
      <c r="M30" s="309"/>
      <c r="N30" s="309"/>
      <c r="O30" s="309"/>
    </row>
    <row r="31" spans="1:15" ht="12.75">
      <c r="A31" s="309"/>
      <c r="B31" s="309"/>
      <c r="C31" s="309"/>
      <c r="D31" s="309"/>
      <c r="E31" s="309"/>
      <c r="F31" s="309"/>
      <c r="G31" s="309"/>
      <c r="H31" s="309"/>
      <c r="I31" s="309"/>
      <c r="J31" s="309"/>
      <c r="K31" s="309"/>
      <c r="L31" s="309"/>
      <c r="M31" s="309"/>
      <c r="N31" s="309"/>
      <c r="O31" s="309"/>
    </row>
    <row r="32" spans="1:15" ht="12.75">
      <c r="A32" s="309"/>
      <c r="B32" s="309"/>
      <c r="C32" s="309"/>
      <c r="D32" s="309"/>
      <c r="E32" s="309"/>
      <c r="F32" s="309"/>
      <c r="G32" s="309"/>
      <c r="H32" s="309"/>
      <c r="I32" s="309"/>
      <c r="J32" s="309"/>
      <c r="K32" s="309"/>
      <c r="L32" s="309"/>
      <c r="M32" s="309"/>
      <c r="N32" s="309"/>
      <c r="O32" s="309"/>
    </row>
    <row r="33" spans="1:15" ht="12.75">
      <c r="A33" s="309"/>
      <c r="B33" s="309"/>
      <c r="C33" s="309"/>
      <c r="D33" s="309"/>
      <c r="E33" s="309"/>
      <c r="F33" s="309"/>
      <c r="G33" s="309"/>
      <c r="H33" s="309"/>
      <c r="I33" s="309"/>
      <c r="J33" s="309"/>
      <c r="K33" s="309"/>
      <c r="L33" s="309"/>
      <c r="M33" s="309"/>
      <c r="N33" s="309"/>
      <c r="O33" s="309"/>
    </row>
    <row r="34" spans="1:15" ht="12.75">
      <c r="A34" s="309"/>
      <c r="B34" s="309"/>
      <c r="C34" s="309"/>
      <c r="D34" s="309"/>
      <c r="E34" s="309"/>
      <c r="F34" s="309"/>
      <c r="G34" s="309"/>
      <c r="H34" s="309"/>
      <c r="I34" s="309"/>
      <c r="J34" s="309"/>
      <c r="K34" s="309"/>
      <c r="L34" s="309"/>
      <c r="M34" s="309"/>
      <c r="N34" s="309"/>
      <c r="O34" s="309"/>
    </row>
  </sheetData>
  <sheetProtection password="DEF0" sheet="1" objects="1" scenarios="1"/>
  <mergeCells count="8">
    <mergeCell ref="D11:H11"/>
    <mergeCell ref="D16:M16"/>
    <mergeCell ref="E2:O3"/>
    <mergeCell ref="E4:N4"/>
    <mergeCell ref="E5:N5"/>
    <mergeCell ref="D7:F7"/>
    <mergeCell ref="H7:K7"/>
    <mergeCell ref="L7:M7"/>
  </mergeCells>
  <printOptions/>
  <pageMargins left="0.75" right="0.75" top="1" bottom="1" header="0.492125985" footer="0.492125985"/>
  <pageSetup horizontalDpi="300" verticalDpi="300" orientation="portrait" r:id="rId3"/>
  <drawing r:id="rId2"/>
  <legacyDrawing r:id="rId1"/>
</worksheet>
</file>

<file path=xl/worksheets/sheet8.xml><?xml version="1.0" encoding="utf-8"?>
<worksheet xmlns="http://schemas.openxmlformats.org/spreadsheetml/2006/main" xmlns:r="http://schemas.openxmlformats.org/officeDocument/2006/relationships">
  <sheetPr codeName="Plan2"/>
  <dimension ref="A2:AL58"/>
  <sheetViews>
    <sheetView showGridLines="0" showRowColHeaders="0" zoomScale="88" zoomScaleNormal="88" zoomScalePageLayoutView="0" workbookViewId="0" topLeftCell="A1">
      <selection activeCell="H47" sqref="H47"/>
    </sheetView>
  </sheetViews>
  <sheetFormatPr defaultColWidth="0" defaultRowHeight="12" customHeight="1"/>
  <cols>
    <col min="1" max="1" width="0.71875" style="55" customWidth="1"/>
    <col min="2" max="2" width="30.7109375" style="55" customWidth="1"/>
    <col min="3" max="3" width="20.7109375" style="55" customWidth="1"/>
    <col min="4" max="4" width="25.7109375" style="55" customWidth="1"/>
    <col min="5" max="8" width="31.7109375" style="55" customWidth="1"/>
    <col min="9" max="9" width="1.7109375" style="55" customWidth="1"/>
    <col min="10" max="10" width="15.421875" style="56" hidden="1" customWidth="1"/>
    <col min="11" max="11" width="3.140625" style="55" hidden="1" customWidth="1"/>
    <col min="12" max="12" width="4.7109375" style="55" hidden="1" customWidth="1"/>
    <col min="13" max="13" width="11.421875" style="55" hidden="1" customWidth="1"/>
    <col min="14" max="14" width="6.28125" style="55" hidden="1" customWidth="1"/>
    <col min="15" max="16" width="11.421875" style="55" hidden="1" customWidth="1"/>
    <col min="17" max="17" width="6.28125" style="55" hidden="1" customWidth="1"/>
    <col min="18" max="16384" width="11.421875" style="55" hidden="1" customWidth="1"/>
  </cols>
  <sheetData>
    <row r="1" ht="7.5" customHeight="1"/>
    <row r="2" spans="2:38" ht="15" customHeight="1">
      <c r="B2" s="88" t="s">
        <v>1191</v>
      </c>
      <c r="C2" s="89" t="s">
        <v>194</v>
      </c>
      <c r="D2" s="620" t="str">
        <f>COMANDOBLOQUEADO!S19</f>
        <v>CESÁRIO LANGE</v>
      </c>
      <c r="E2" s="621"/>
      <c r="F2" s="90" t="s">
        <v>268</v>
      </c>
      <c r="G2" s="118" t="str">
        <f>COMANDOBLOQUEADO!U6</f>
        <v>4º TRIMESTRE</v>
      </c>
      <c r="H2" s="51" t="str">
        <f>COMANDOBLOQUEADO!Y6</f>
        <v>2009</v>
      </c>
      <c r="I2" s="91"/>
      <c r="J2" s="92"/>
      <c r="K2" s="91"/>
      <c r="L2" s="93"/>
      <c r="M2" s="91"/>
      <c r="N2" s="91"/>
      <c r="O2" s="91"/>
      <c r="P2" s="91"/>
      <c r="Q2" s="91"/>
      <c r="R2" s="91"/>
      <c r="S2" s="91"/>
      <c r="T2" s="91"/>
      <c r="U2" s="91"/>
      <c r="V2" s="91"/>
      <c r="W2" s="91"/>
      <c r="X2" s="91"/>
      <c r="Y2" s="91"/>
      <c r="Z2" s="91"/>
      <c r="AA2" s="91"/>
      <c r="AB2" s="94"/>
      <c r="AC2" s="91"/>
      <c r="AD2" s="91"/>
      <c r="AE2" s="91"/>
      <c r="AF2" s="91"/>
      <c r="AG2" s="91"/>
      <c r="AH2" s="91"/>
      <c r="AI2" s="91"/>
      <c r="AJ2" s="91"/>
      <c r="AK2" s="91"/>
      <c r="AL2" s="91"/>
    </row>
    <row r="3" spans="2:38" ht="19.5" customHeight="1">
      <c r="B3" s="59"/>
      <c r="C3" s="59"/>
      <c r="D3" s="59"/>
      <c r="E3" s="59"/>
      <c r="F3" s="59"/>
      <c r="G3" s="59"/>
      <c r="H3" s="59"/>
      <c r="I3" s="91"/>
      <c r="J3" s="92"/>
      <c r="K3" s="91"/>
      <c r="L3" s="93"/>
      <c r="M3" s="91"/>
      <c r="N3" s="91"/>
      <c r="O3" s="91"/>
      <c r="P3" s="91"/>
      <c r="Q3" s="91"/>
      <c r="R3" s="91"/>
      <c r="S3" s="91"/>
      <c r="T3" s="91"/>
      <c r="U3" s="91"/>
      <c r="V3" s="91"/>
      <c r="W3" s="91"/>
      <c r="X3" s="91"/>
      <c r="Y3" s="91"/>
      <c r="Z3" s="91"/>
      <c r="AA3" s="91"/>
      <c r="AB3" s="94"/>
      <c r="AC3" s="91"/>
      <c r="AD3" s="91"/>
      <c r="AE3" s="91"/>
      <c r="AF3" s="91"/>
      <c r="AG3" s="91"/>
      <c r="AH3" s="91"/>
      <c r="AI3" s="91"/>
      <c r="AJ3" s="91"/>
      <c r="AK3" s="91"/>
      <c r="AL3" s="91"/>
    </row>
    <row r="4" spans="2:38" ht="18">
      <c r="B4" s="625" t="s">
        <v>1193</v>
      </c>
      <c r="C4" s="625"/>
      <c r="D4" s="626"/>
      <c r="E4" s="626"/>
      <c r="F4" s="626"/>
      <c r="G4" s="626"/>
      <c r="H4" s="626"/>
      <c r="J4" s="55"/>
      <c r="R4" s="91"/>
      <c r="S4" s="91"/>
      <c r="T4" s="91"/>
      <c r="U4" s="91"/>
      <c r="V4" s="91"/>
      <c r="W4" s="91"/>
      <c r="X4" s="91"/>
      <c r="Y4" s="91"/>
      <c r="Z4" s="91"/>
      <c r="AA4" s="91"/>
      <c r="AB4" s="93"/>
      <c r="AC4" s="91"/>
      <c r="AD4" s="91"/>
      <c r="AE4" s="91"/>
      <c r="AF4" s="91"/>
      <c r="AG4" s="91"/>
      <c r="AH4" s="91"/>
      <c r="AI4" s="91"/>
      <c r="AJ4" s="91"/>
      <c r="AK4" s="91"/>
      <c r="AL4" s="91"/>
    </row>
    <row r="5" spans="2:38" ht="15" customHeight="1" thickBot="1">
      <c r="B5" s="59"/>
      <c r="C5" s="59"/>
      <c r="D5" s="59"/>
      <c r="E5" s="59"/>
      <c r="F5" s="59"/>
      <c r="G5" s="59"/>
      <c r="H5" s="59"/>
      <c r="J5" s="55"/>
      <c r="R5" s="91"/>
      <c r="S5" s="91"/>
      <c r="T5" s="91"/>
      <c r="U5" s="91"/>
      <c r="V5" s="91"/>
      <c r="W5" s="91"/>
      <c r="X5" s="91"/>
      <c r="Y5" s="91"/>
      <c r="Z5" s="91"/>
      <c r="AA5" s="91"/>
      <c r="AB5" s="93"/>
      <c r="AC5" s="91"/>
      <c r="AD5" s="91"/>
      <c r="AE5" s="91"/>
      <c r="AF5" s="91"/>
      <c r="AG5" s="91"/>
      <c r="AH5" s="91"/>
      <c r="AI5" s="91"/>
      <c r="AJ5" s="91"/>
      <c r="AK5" s="91"/>
      <c r="AL5" s="91"/>
    </row>
    <row r="6" spans="2:38" ht="30" customHeight="1" thickBot="1">
      <c r="B6" s="627" t="s">
        <v>1170</v>
      </c>
      <c r="C6" s="628"/>
      <c r="D6" s="629"/>
      <c r="E6" s="66" t="s">
        <v>36</v>
      </c>
      <c r="F6" s="66" t="s">
        <v>32</v>
      </c>
      <c r="G6" s="66" t="s">
        <v>33</v>
      </c>
      <c r="H6" s="84" t="s">
        <v>35</v>
      </c>
      <c r="R6" s="91"/>
      <c r="S6" s="91"/>
      <c r="T6" s="95"/>
      <c r="U6" s="91"/>
      <c r="V6" s="91"/>
      <c r="W6" s="91"/>
      <c r="X6" s="91"/>
      <c r="Y6" s="91"/>
      <c r="Z6" s="91"/>
      <c r="AA6" s="91"/>
      <c r="AB6" s="93"/>
      <c r="AC6" s="91"/>
      <c r="AD6" s="91"/>
      <c r="AE6" s="91"/>
      <c r="AF6" s="91"/>
      <c r="AG6" s="91"/>
      <c r="AH6" s="91"/>
      <c r="AI6" s="91"/>
      <c r="AJ6" s="91"/>
      <c r="AK6" s="91"/>
      <c r="AL6" s="91"/>
    </row>
    <row r="7" spans="2:38" ht="4.5" customHeight="1">
      <c r="B7" s="60"/>
      <c r="C7" s="156"/>
      <c r="D7" s="61"/>
      <c r="E7" s="61"/>
      <c r="F7" s="61"/>
      <c r="G7" s="61"/>
      <c r="H7" s="234"/>
      <c r="R7" s="91"/>
      <c r="S7" s="91"/>
      <c r="T7" s="91"/>
      <c r="U7" s="91"/>
      <c r="V7" s="91"/>
      <c r="W7" s="91"/>
      <c r="X7" s="91"/>
      <c r="Y7" s="91"/>
      <c r="Z7" s="91"/>
      <c r="AA7" s="91"/>
      <c r="AB7" s="91"/>
      <c r="AC7" s="91"/>
      <c r="AD7" s="91"/>
      <c r="AE7" s="91"/>
      <c r="AF7" s="91"/>
      <c r="AG7" s="91"/>
      <c r="AH7" s="91"/>
      <c r="AI7" s="91"/>
      <c r="AJ7" s="91"/>
      <c r="AK7" s="91"/>
      <c r="AL7" s="91"/>
    </row>
    <row r="8" spans="2:38" ht="16.5" customHeight="1">
      <c r="B8" s="68" t="s">
        <v>1100</v>
      </c>
      <c r="C8" s="157"/>
      <c r="D8" s="69"/>
      <c r="E8" s="70"/>
      <c r="F8" s="70"/>
      <c r="G8" s="70"/>
      <c r="H8" s="85"/>
      <c r="R8" s="91"/>
      <c r="S8" s="91"/>
      <c r="T8" s="98"/>
      <c r="U8" s="93"/>
      <c r="V8" s="91"/>
      <c r="W8" s="91"/>
      <c r="X8" s="91"/>
      <c r="Y8" s="91"/>
      <c r="Z8" s="91"/>
      <c r="AA8" s="91"/>
      <c r="AB8" s="93"/>
      <c r="AC8" s="91"/>
      <c r="AD8" s="91"/>
      <c r="AE8" s="91"/>
      <c r="AF8" s="91"/>
      <c r="AG8" s="91"/>
      <c r="AH8" s="91"/>
      <c r="AI8" s="99"/>
      <c r="AJ8" s="91"/>
      <c r="AK8" s="91"/>
      <c r="AL8" s="91"/>
    </row>
    <row r="9" spans="2:38" ht="16.5" customHeight="1">
      <c r="B9" s="71" t="s">
        <v>229</v>
      </c>
      <c r="C9" s="64"/>
      <c r="D9" s="64"/>
      <c r="E9" s="72">
        <v>133658.95</v>
      </c>
      <c r="F9" s="72">
        <v>210720.48</v>
      </c>
      <c r="G9" s="72">
        <v>291876.88</v>
      </c>
      <c r="H9" s="81">
        <v>357528.24</v>
      </c>
      <c r="R9" s="91"/>
      <c r="S9" s="91"/>
      <c r="T9" s="100"/>
      <c r="U9" s="101"/>
      <c r="V9" s="91"/>
      <c r="W9" s="91"/>
      <c r="X9" s="102"/>
      <c r="Y9" s="91"/>
      <c r="Z9" s="91"/>
      <c r="AA9" s="91"/>
      <c r="AB9" s="91"/>
      <c r="AC9" s="91"/>
      <c r="AD9" s="91"/>
      <c r="AE9" s="91"/>
      <c r="AF9" s="91"/>
      <c r="AG9" s="91"/>
      <c r="AH9" s="91"/>
      <c r="AI9" s="91"/>
      <c r="AJ9" s="91"/>
      <c r="AK9" s="91"/>
      <c r="AL9" s="91"/>
    </row>
    <row r="10" spans="2:38" ht="16.5" customHeight="1">
      <c r="B10" s="73" t="s">
        <v>310</v>
      </c>
      <c r="C10" s="67"/>
      <c r="D10" s="64"/>
      <c r="E10" s="72">
        <v>51117.27</v>
      </c>
      <c r="F10" s="72">
        <v>137764.54</v>
      </c>
      <c r="G10" s="72">
        <v>179366.46</v>
      </c>
      <c r="H10" s="81">
        <v>232616.1</v>
      </c>
      <c r="R10" s="103"/>
      <c r="S10" s="91"/>
      <c r="T10" s="100"/>
      <c r="U10" s="91"/>
      <c r="V10" s="91"/>
      <c r="W10" s="91"/>
      <c r="X10" s="102"/>
      <c r="Y10" s="91"/>
      <c r="Z10" s="91"/>
      <c r="AA10" s="91"/>
      <c r="AB10" s="91"/>
      <c r="AC10" s="91"/>
      <c r="AD10" s="91"/>
      <c r="AE10" s="91"/>
      <c r="AF10" s="91"/>
      <c r="AG10" s="91"/>
      <c r="AH10" s="91"/>
      <c r="AI10" s="91"/>
      <c r="AJ10" s="91"/>
      <c r="AK10" s="91"/>
      <c r="AL10" s="91"/>
    </row>
    <row r="11" spans="2:38" ht="16.5" customHeight="1">
      <c r="B11" s="73" t="s">
        <v>311</v>
      </c>
      <c r="C11" s="67"/>
      <c r="D11" s="64"/>
      <c r="E11" s="72">
        <v>100539.34</v>
      </c>
      <c r="F11" s="72">
        <v>357241.51</v>
      </c>
      <c r="G11" s="72">
        <f>466324.2+53283.87</f>
        <v>519608.07</v>
      </c>
      <c r="H11" s="81">
        <v>768979.32</v>
      </c>
      <c r="R11" s="91"/>
      <c r="S11" s="91"/>
      <c r="T11" s="98"/>
      <c r="U11" s="93"/>
      <c r="V11" s="91"/>
      <c r="W11" s="91"/>
      <c r="X11" s="102"/>
      <c r="Y11" s="91"/>
      <c r="Z11" s="91"/>
      <c r="AA11" s="91"/>
      <c r="AB11" s="93"/>
      <c r="AC11" s="91"/>
      <c r="AD11" s="91"/>
      <c r="AE11" s="91"/>
      <c r="AF11" s="91"/>
      <c r="AG11" s="91"/>
      <c r="AH11" s="91"/>
      <c r="AI11" s="91"/>
      <c r="AJ11" s="91"/>
      <c r="AK11" s="91"/>
      <c r="AL11" s="91"/>
    </row>
    <row r="12" spans="2:38" ht="16.5" customHeight="1">
      <c r="B12" s="71" t="s">
        <v>231</v>
      </c>
      <c r="C12" s="64"/>
      <c r="D12" s="64"/>
      <c r="E12" s="72">
        <v>9410.81</v>
      </c>
      <c r="F12" s="72">
        <v>119745.26</v>
      </c>
      <c r="G12" s="72">
        <v>519608.07</v>
      </c>
      <c r="H12" s="81">
        <v>157451.52</v>
      </c>
      <c r="R12" s="91"/>
      <c r="S12" s="91"/>
      <c r="T12" s="98"/>
      <c r="U12" s="93"/>
      <c r="V12" s="91"/>
      <c r="W12" s="91"/>
      <c r="X12" s="102"/>
      <c r="Y12" s="91"/>
      <c r="Z12" s="91"/>
      <c r="AA12" s="91"/>
      <c r="AB12" s="93"/>
      <c r="AC12" s="91"/>
      <c r="AD12" s="91"/>
      <c r="AE12" s="91"/>
      <c r="AF12" s="91"/>
      <c r="AG12" s="91"/>
      <c r="AH12" s="91"/>
      <c r="AI12" s="91"/>
      <c r="AJ12" s="91"/>
      <c r="AK12" s="91"/>
      <c r="AL12" s="91"/>
    </row>
    <row r="13" spans="2:38" ht="16.5" customHeight="1">
      <c r="B13" s="71" t="s">
        <v>202</v>
      </c>
      <c r="C13" s="64"/>
      <c r="D13" s="64"/>
      <c r="E13" s="72">
        <f>87561.03+9396.65</f>
        <v>96957.68</v>
      </c>
      <c r="F13" s="72">
        <f>128949.72+13329.01</f>
        <v>142278.73</v>
      </c>
      <c r="G13" s="72">
        <v>227264.89</v>
      </c>
      <c r="H13" s="81">
        <v>239918.02</v>
      </c>
      <c r="R13" s="91"/>
      <c r="S13" s="91"/>
      <c r="T13" s="100"/>
      <c r="U13" s="91"/>
      <c r="V13" s="91"/>
      <c r="W13" s="91"/>
      <c r="X13" s="102"/>
      <c r="Y13" s="91"/>
      <c r="Z13" s="91"/>
      <c r="AA13" s="91"/>
      <c r="AB13" s="91"/>
      <c r="AC13" s="91"/>
      <c r="AD13" s="91"/>
      <c r="AE13" s="91"/>
      <c r="AF13" s="91"/>
      <c r="AG13" s="91"/>
      <c r="AH13" s="91"/>
      <c r="AI13" s="91"/>
      <c r="AJ13" s="91"/>
      <c r="AK13" s="91"/>
      <c r="AL13" s="91"/>
    </row>
    <row r="14" spans="2:38" ht="16.5" customHeight="1">
      <c r="B14" s="73" t="s">
        <v>16</v>
      </c>
      <c r="C14" s="64"/>
      <c r="D14" s="64"/>
      <c r="E14" s="72">
        <v>19023.91</v>
      </c>
      <c r="F14" s="72">
        <v>43240.87</v>
      </c>
      <c r="G14" s="72">
        <v>103673.24</v>
      </c>
      <c r="H14" s="81">
        <v>51443.81</v>
      </c>
      <c r="R14" s="91"/>
      <c r="S14" s="91"/>
      <c r="T14" s="100"/>
      <c r="U14" s="91"/>
      <c r="V14" s="91"/>
      <c r="W14" s="91"/>
      <c r="X14" s="102"/>
      <c r="Y14" s="91"/>
      <c r="Z14" s="91"/>
      <c r="AA14" s="91"/>
      <c r="AB14" s="91"/>
      <c r="AC14" s="91"/>
      <c r="AD14" s="91"/>
      <c r="AE14" s="91"/>
      <c r="AF14" s="91"/>
      <c r="AG14" s="91"/>
      <c r="AH14" s="102"/>
      <c r="AI14" s="104"/>
      <c r="AJ14" s="91"/>
      <c r="AK14" s="91"/>
      <c r="AL14" s="91"/>
    </row>
    <row r="15" spans="2:38" ht="16.5" customHeight="1">
      <c r="B15" s="71" t="s">
        <v>203</v>
      </c>
      <c r="C15" s="67"/>
      <c r="D15" s="64"/>
      <c r="E15" s="72">
        <v>0</v>
      </c>
      <c r="F15" s="72">
        <v>0</v>
      </c>
      <c r="G15" s="72">
        <v>0</v>
      </c>
      <c r="H15" s="81">
        <v>0</v>
      </c>
      <c r="R15" s="91"/>
      <c r="S15" s="91"/>
      <c r="T15" s="100"/>
      <c r="U15" s="91"/>
      <c r="V15" s="91"/>
      <c r="W15" s="91"/>
      <c r="X15" s="102"/>
      <c r="Y15" s="102"/>
      <c r="Z15" s="91"/>
      <c r="AA15" s="91"/>
      <c r="AB15" s="91"/>
      <c r="AC15" s="91"/>
      <c r="AD15" s="91"/>
      <c r="AE15" s="91"/>
      <c r="AF15" s="91"/>
      <c r="AG15" s="91"/>
      <c r="AH15" s="102"/>
      <c r="AI15" s="104"/>
      <c r="AJ15" s="91"/>
      <c r="AK15" s="91"/>
      <c r="AL15" s="91"/>
    </row>
    <row r="16" spans="2:38" ht="16.5" customHeight="1">
      <c r="B16" s="622" t="s">
        <v>1101</v>
      </c>
      <c r="C16" s="623"/>
      <c r="D16" s="624"/>
      <c r="E16" s="74">
        <f>SUM(E9:E15)</f>
        <v>410707.95999999996</v>
      </c>
      <c r="F16" s="74">
        <f>SUM(F9:F15)</f>
        <v>1010991.39</v>
      </c>
      <c r="G16" s="74">
        <f>SUM(G9:G15)</f>
        <v>1841397.61</v>
      </c>
      <c r="H16" s="87">
        <f>SUM(H9:H15)</f>
        <v>1807937.01</v>
      </c>
      <c r="R16" s="91"/>
      <c r="S16" s="91"/>
      <c r="T16" s="100"/>
      <c r="U16" s="91"/>
      <c r="V16" s="91"/>
      <c r="W16" s="91"/>
      <c r="X16" s="102"/>
      <c r="Y16" s="102"/>
      <c r="Z16" s="91"/>
      <c r="AA16" s="91"/>
      <c r="AB16" s="93"/>
      <c r="AC16" s="91"/>
      <c r="AD16" s="91"/>
      <c r="AE16" s="91"/>
      <c r="AF16" s="91"/>
      <c r="AG16" s="91"/>
      <c r="AH16" s="91"/>
      <c r="AI16" s="91"/>
      <c r="AJ16" s="91"/>
      <c r="AK16" s="91"/>
      <c r="AL16" s="91"/>
    </row>
    <row r="17" spans="2:38" ht="6" customHeight="1">
      <c r="B17" s="71"/>
      <c r="C17" s="54"/>
      <c r="D17" s="54"/>
      <c r="E17" s="62"/>
      <c r="F17" s="62"/>
      <c r="G17" s="62"/>
      <c r="H17" s="83"/>
      <c r="R17" s="91"/>
      <c r="S17" s="91"/>
      <c r="T17" s="100"/>
      <c r="U17" s="91"/>
      <c r="V17" s="91"/>
      <c r="W17" s="91"/>
      <c r="X17" s="102"/>
      <c r="Y17" s="102"/>
      <c r="Z17" s="91"/>
      <c r="AA17" s="91"/>
      <c r="AB17" s="93"/>
      <c r="AC17" s="91"/>
      <c r="AD17" s="91"/>
      <c r="AE17" s="91"/>
      <c r="AF17" s="91"/>
      <c r="AG17" s="91"/>
      <c r="AH17" s="91"/>
      <c r="AI17" s="91"/>
      <c r="AJ17" s="91"/>
      <c r="AK17" s="91"/>
      <c r="AL17" s="91"/>
    </row>
    <row r="18" spans="2:38" ht="16.5" customHeight="1">
      <c r="B18" s="68" t="s">
        <v>195</v>
      </c>
      <c r="C18" s="157"/>
      <c r="D18" s="64"/>
      <c r="E18" s="75"/>
      <c r="F18" s="75"/>
      <c r="G18" s="75"/>
      <c r="H18" s="167"/>
      <c r="R18" s="91"/>
      <c r="S18" s="91"/>
      <c r="T18" s="105"/>
      <c r="U18" s="94"/>
      <c r="V18" s="91"/>
      <c r="W18" s="91"/>
      <c r="X18" s="102"/>
      <c r="Y18" s="91"/>
      <c r="Z18" s="91"/>
      <c r="AA18" s="91"/>
      <c r="AB18" s="91"/>
      <c r="AC18" s="91"/>
      <c r="AD18" s="91"/>
      <c r="AE18" s="91"/>
      <c r="AF18" s="91"/>
      <c r="AG18" s="91"/>
      <c r="AH18" s="91"/>
      <c r="AI18" s="91"/>
      <c r="AJ18" s="91"/>
      <c r="AK18" s="91"/>
      <c r="AL18" s="91"/>
    </row>
    <row r="19" spans="2:38" ht="16.5" customHeight="1">
      <c r="B19" s="73" t="s">
        <v>230</v>
      </c>
      <c r="C19" s="67"/>
      <c r="D19" s="64"/>
      <c r="E19" s="72">
        <v>1678446.21</v>
      </c>
      <c r="F19" s="72">
        <v>3469840.22</v>
      </c>
      <c r="G19" s="72">
        <v>4870296.22</v>
      </c>
      <c r="H19" s="81">
        <v>7036370.22</v>
      </c>
      <c r="R19" s="103"/>
      <c r="S19" s="91"/>
      <c r="T19" s="100"/>
      <c r="U19" s="91"/>
      <c r="V19" s="91"/>
      <c r="W19" s="91"/>
      <c r="X19" s="102"/>
      <c r="Y19" s="91"/>
      <c r="Z19" s="91"/>
      <c r="AA19" s="91"/>
      <c r="AB19" s="93"/>
      <c r="AC19" s="91"/>
      <c r="AD19" s="91"/>
      <c r="AE19" s="91"/>
      <c r="AF19" s="91"/>
      <c r="AG19" s="91"/>
      <c r="AH19" s="102"/>
      <c r="AI19" s="91"/>
      <c r="AJ19" s="91"/>
      <c r="AK19" s="91"/>
      <c r="AL19" s="91"/>
    </row>
    <row r="20" spans="2:38" ht="16.5" customHeight="1">
      <c r="B20" s="71" t="s">
        <v>232</v>
      </c>
      <c r="C20" s="64"/>
      <c r="D20" s="64"/>
      <c r="E20" s="72">
        <v>833.84</v>
      </c>
      <c r="F20" s="72">
        <v>1910.99</v>
      </c>
      <c r="G20" s="72">
        <v>6111.01</v>
      </c>
      <c r="H20" s="81">
        <v>23993.81</v>
      </c>
      <c r="R20" s="91"/>
      <c r="S20" s="91"/>
      <c r="T20" s="100"/>
      <c r="U20" s="91"/>
      <c r="V20" s="91"/>
      <c r="W20" s="91"/>
      <c r="X20" s="102"/>
      <c r="Y20" s="91"/>
      <c r="Z20" s="91"/>
      <c r="AA20" s="91"/>
      <c r="AB20" s="91"/>
      <c r="AC20" s="91"/>
      <c r="AD20" s="91"/>
      <c r="AE20" s="91"/>
      <c r="AF20" s="91"/>
      <c r="AG20" s="91"/>
      <c r="AH20" s="91"/>
      <c r="AI20" s="91"/>
      <c r="AJ20" s="91"/>
      <c r="AK20" s="91"/>
      <c r="AL20" s="91"/>
    </row>
    <row r="21" spans="2:38" ht="16.5" customHeight="1">
      <c r="B21" s="71" t="s">
        <v>1243</v>
      </c>
      <c r="C21" s="64"/>
      <c r="D21" s="64"/>
      <c r="E21" s="72">
        <v>9140.73</v>
      </c>
      <c r="F21" s="72">
        <v>18281.46</v>
      </c>
      <c r="G21" s="72">
        <v>27422.19</v>
      </c>
      <c r="H21" s="81">
        <v>36562.92</v>
      </c>
      <c r="R21" s="91"/>
      <c r="S21" s="91"/>
      <c r="T21" s="100"/>
      <c r="U21" s="91"/>
      <c r="V21" s="91"/>
      <c r="W21" s="91"/>
      <c r="X21" s="102"/>
      <c r="Y21" s="102"/>
      <c r="Z21" s="91"/>
      <c r="AA21" s="91"/>
      <c r="AB21" s="91"/>
      <c r="AC21" s="91"/>
      <c r="AD21" s="91"/>
      <c r="AE21" s="91"/>
      <c r="AF21" s="91"/>
      <c r="AG21" s="91"/>
      <c r="AH21" s="91"/>
      <c r="AI21" s="91"/>
      <c r="AJ21" s="91"/>
      <c r="AK21" s="91"/>
      <c r="AL21" s="91"/>
    </row>
    <row r="22" spans="2:38" ht="16.5" customHeight="1">
      <c r="B22" s="622" t="s">
        <v>1094</v>
      </c>
      <c r="C22" s="623"/>
      <c r="D22" s="624"/>
      <c r="E22" s="74">
        <f>SUM(E19:E21)</f>
        <v>1688420.78</v>
      </c>
      <c r="F22" s="74">
        <f>SUM(F19:F21)</f>
        <v>3490032.6700000004</v>
      </c>
      <c r="G22" s="74">
        <f>SUM(G19:G21)</f>
        <v>4903829.42</v>
      </c>
      <c r="H22" s="87">
        <f>SUM(H19:H21)</f>
        <v>7096926.949999999</v>
      </c>
      <c r="R22" s="91"/>
      <c r="S22" s="91"/>
      <c r="T22" s="100"/>
      <c r="U22" s="101"/>
      <c r="V22" s="91"/>
      <c r="W22" s="91"/>
      <c r="X22" s="102"/>
      <c r="Y22" s="91"/>
      <c r="Z22" s="91"/>
      <c r="AA22" s="91"/>
      <c r="AB22" s="91"/>
      <c r="AC22" s="91"/>
      <c r="AD22" s="91"/>
      <c r="AE22" s="91"/>
      <c r="AF22" s="91"/>
      <c r="AG22" s="91"/>
      <c r="AH22" s="102"/>
      <c r="AI22" s="104"/>
      <c r="AJ22" s="91"/>
      <c r="AK22" s="91"/>
      <c r="AL22" s="91"/>
    </row>
    <row r="23" spans="2:38" ht="6" customHeight="1">
      <c r="B23" s="632"/>
      <c r="C23" s="633"/>
      <c r="D23" s="633"/>
      <c r="E23" s="62"/>
      <c r="F23" s="62"/>
      <c r="G23" s="62"/>
      <c r="H23" s="83"/>
      <c r="R23" s="91"/>
      <c r="S23" s="91"/>
      <c r="T23" s="100"/>
      <c r="U23" s="91"/>
      <c r="V23" s="91"/>
      <c r="W23" s="91"/>
      <c r="X23" s="102"/>
      <c r="Y23" s="91"/>
      <c r="Z23" s="91"/>
      <c r="AA23" s="91"/>
      <c r="AB23" s="101"/>
      <c r="AC23" s="91"/>
      <c r="AD23" s="91"/>
      <c r="AE23" s="91"/>
      <c r="AF23" s="91"/>
      <c r="AG23" s="91"/>
      <c r="AH23" s="102"/>
      <c r="AI23" s="104"/>
      <c r="AJ23" s="91"/>
      <c r="AK23" s="91"/>
      <c r="AL23" s="91"/>
    </row>
    <row r="24" spans="2:38" ht="16.5" customHeight="1">
      <c r="B24" s="68" t="s">
        <v>193</v>
      </c>
      <c r="C24" s="157"/>
      <c r="D24" s="64"/>
      <c r="E24" s="75"/>
      <c r="F24" s="75"/>
      <c r="G24" s="75"/>
      <c r="H24" s="167"/>
      <c r="R24" s="91"/>
      <c r="S24" s="91"/>
      <c r="T24" s="100"/>
      <c r="U24" s="91"/>
      <c r="V24" s="91"/>
      <c r="W24" s="91"/>
      <c r="X24" s="102"/>
      <c r="Y24" s="91"/>
      <c r="Z24" s="91"/>
      <c r="AA24" s="91"/>
      <c r="AB24" s="91"/>
      <c r="AC24" s="91"/>
      <c r="AD24" s="91"/>
      <c r="AE24" s="91"/>
      <c r="AF24" s="91"/>
      <c r="AG24" s="91"/>
      <c r="AH24" s="102"/>
      <c r="AI24" s="106"/>
      <c r="AJ24" s="91"/>
      <c r="AK24" s="91"/>
      <c r="AL24" s="91"/>
    </row>
    <row r="25" spans="2:38" ht="16.5" customHeight="1">
      <c r="B25" s="71" t="s">
        <v>233</v>
      </c>
      <c r="C25" s="64"/>
      <c r="D25" s="64"/>
      <c r="E25" s="72">
        <v>1113447.77</v>
      </c>
      <c r="F25" s="72">
        <v>2207706.23</v>
      </c>
      <c r="G25" s="72">
        <v>3360079.79</v>
      </c>
      <c r="H25" s="81">
        <v>4669109.43</v>
      </c>
      <c r="R25" s="91"/>
      <c r="S25" s="91"/>
      <c r="T25" s="105"/>
      <c r="U25" s="107"/>
      <c r="V25" s="91"/>
      <c r="W25" s="91"/>
      <c r="X25" s="102"/>
      <c r="Y25" s="91"/>
      <c r="Z25" s="91"/>
      <c r="AA25" s="91"/>
      <c r="AB25" s="91"/>
      <c r="AC25" s="91"/>
      <c r="AD25" s="91"/>
      <c r="AE25" s="91"/>
      <c r="AF25" s="91"/>
      <c r="AG25" s="91"/>
      <c r="AH25" s="91"/>
      <c r="AI25" s="91"/>
      <c r="AJ25" s="91"/>
      <c r="AK25" s="91"/>
      <c r="AL25" s="91"/>
    </row>
    <row r="26" spans="2:38" ht="16.5" customHeight="1">
      <c r="B26" s="71" t="s">
        <v>234</v>
      </c>
      <c r="C26" s="64"/>
      <c r="D26" s="64"/>
      <c r="E26" s="72">
        <v>532794.94</v>
      </c>
      <c r="F26" s="72">
        <v>639100.4</v>
      </c>
      <c r="G26" s="72">
        <v>742557.36</v>
      </c>
      <c r="H26" s="81">
        <v>835048.16</v>
      </c>
      <c r="R26" s="91"/>
      <c r="S26" s="91"/>
      <c r="T26" s="100"/>
      <c r="U26" s="91"/>
      <c r="V26" s="91"/>
      <c r="W26" s="91"/>
      <c r="X26" s="102"/>
      <c r="Y26" s="91"/>
      <c r="Z26" s="91"/>
      <c r="AA26" s="91"/>
      <c r="AB26" s="91"/>
      <c r="AC26" s="91"/>
      <c r="AD26" s="91"/>
      <c r="AE26" s="91"/>
      <c r="AF26" s="91"/>
      <c r="AG26" s="91"/>
      <c r="AH26" s="102"/>
      <c r="AI26" s="106"/>
      <c r="AJ26" s="91"/>
      <c r="AK26" s="91"/>
      <c r="AL26" s="91"/>
    </row>
    <row r="27" spans="2:38" ht="16.5" customHeight="1">
      <c r="B27" s="71" t="s">
        <v>266</v>
      </c>
      <c r="C27" s="64"/>
      <c r="D27" s="64"/>
      <c r="E27" s="72">
        <v>8787.34</v>
      </c>
      <c r="F27" s="72">
        <v>16698.65</v>
      </c>
      <c r="G27" s="72">
        <v>24544.75</v>
      </c>
      <c r="H27" s="81">
        <v>34339.39</v>
      </c>
      <c r="R27" s="91"/>
      <c r="S27" s="91"/>
      <c r="T27" s="100"/>
      <c r="U27" s="91"/>
      <c r="V27" s="91"/>
      <c r="W27" s="91"/>
      <c r="X27" s="102"/>
      <c r="Y27" s="91"/>
      <c r="Z27" s="91"/>
      <c r="AA27" s="91"/>
      <c r="AB27" s="91"/>
      <c r="AC27" s="91"/>
      <c r="AD27" s="91"/>
      <c r="AE27" s="91"/>
      <c r="AF27" s="91"/>
      <c r="AG27" s="91"/>
      <c r="AH27" s="91"/>
      <c r="AI27" s="91"/>
      <c r="AJ27" s="91"/>
      <c r="AK27" s="91"/>
      <c r="AL27" s="91"/>
    </row>
    <row r="28" spans="2:38" ht="16.5" customHeight="1">
      <c r="B28" s="622" t="s">
        <v>1095</v>
      </c>
      <c r="C28" s="623"/>
      <c r="D28" s="624"/>
      <c r="E28" s="74">
        <f>SUM(E25:E27)</f>
        <v>1655030.05</v>
      </c>
      <c r="F28" s="74">
        <f>SUM(F25:F27)</f>
        <v>2863505.28</v>
      </c>
      <c r="G28" s="74">
        <f>SUM(G25:G27)</f>
        <v>4127181.9</v>
      </c>
      <c r="H28" s="87">
        <f>SUM(H25:H27)</f>
        <v>5538496.9799999995</v>
      </c>
      <c r="R28" s="91"/>
      <c r="S28" s="91"/>
      <c r="T28" s="100"/>
      <c r="U28" s="91"/>
      <c r="V28" s="91"/>
      <c r="W28" s="91"/>
      <c r="X28" s="102"/>
      <c r="Y28" s="91"/>
      <c r="Z28" s="91"/>
      <c r="AA28" s="91"/>
      <c r="AB28" s="91"/>
      <c r="AC28" s="91"/>
      <c r="AD28" s="91"/>
      <c r="AE28" s="91"/>
      <c r="AF28" s="91"/>
      <c r="AG28" s="91"/>
      <c r="AH28" s="91"/>
      <c r="AI28" s="91"/>
      <c r="AJ28" s="91"/>
      <c r="AK28" s="91"/>
      <c r="AL28" s="91"/>
    </row>
    <row r="29" spans="2:38" ht="12.75" customHeight="1" thickBot="1">
      <c r="B29" s="622"/>
      <c r="C29" s="623"/>
      <c r="D29" s="623"/>
      <c r="E29" s="62"/>
      <c r="F29" s="62"/>
      <c r="G29" s="62"/>
      <c r="H29" s="83"/>
      <c r="R29" s="91"/>
      <c r="S29" s="91"/>
      <c r="T29" s="100"/>
      <c r="U29" s="91"/>
      <c r="V29" s="91"/>
      <c r="W29" s="91"/>
      <c r="X29" s="102"/>
      <c r="Y29" s="91"/>
      <c r="Z29" s="91"/>
      <c r="AA29" s="91"/>
      <c r="AB29" s="91"/>
      <c r="AC29" s="91"/>
      <c r="AD29" s="91"/>
      <c r="AE29" s="91"/>
      <c r="AF29" s="91"/>
      <c r="AG29" s="91"/>
      <c r="AH29" s="91"/>
      <c r="AI29" s="91"/>
      <c r="AJ29" s="91"/>
      <c r="AK29" s="91"/>
      <c r="AL29" s="91"/>
    </row>
    <row r="30" spans="2:38" ht="18" customHeight="1" thickBot="1">
      <c r="B30" s="634" t="s">
        <v>1169</v>
      </c>
      <c r="C30" s="635"/>
      <c r="D30" s="641"/>
      <c r="E30" s="76">
        <f>E16+E22+E28</f>
        <v>3754158.79</v>
      </c>
      <c r="F30" s="76">
        <f>F16+F22+F28</f>
        <v>7364529.34</v>
      </c>
      <c r="G30" s="76">
        <f>G16+G22+G28</f>
        <v>10872408.93</v>
      </c>
      <c r="H30" s="164">
        <f>H16+H22+H28</f>
        <v>14443360.939999998</v>
      </c>
      <c r="R30" s="91"/>
      <c r="S30" s="91"/>
      <c r="T30" s="100"/>
      <c r="U30" s="91"/>
      <c r="V30" s="91"/>
      <c r="W30" s="91"/>
      <c r="X30" s="102"/>
      <c r="Y30" s="91"/>
      <c r="Z30" s="91"/>
      <c r="AA30" s="91"/>
      <c r="AB30" s="91"/>
      <c r="AC30" s="91"/>
      <c r="AD30" s="91"/>
      <c r="AE30" s="91"/>
      <c r="AF30" s="91"/>
      <c r="AG30" s="91"/>
      <c r="AH30" s="91"/>
      <c r="AI30" s="91"/>
      <c r="AJ30" s="91"/>
      <c r="AK30" s="91"/>
      <c r="AL30" s="91"/>
    </row>
    <row r="31" spans="2:38" ht="18" customHeight="1" thickBot="1">
      <c r="B31" s="54"/>
      <c r="C31" s="54"/>
      <c r="D31" s="54"/>
      <c r="E31" s="62"/>
      <c r="F31" s="62"/>
      <c r="G31" s="62"/>
      <c r="H31" s="62"/>
      <c r="R31" s="91"/>
      <c r="S31" s="91"/>
      <c r="T31" s="100"/>
      <c r="U31" s="91"/>
      <c r="V31" s="91"/>
      <c r="W31" s="91"/>
      <c r="X31" s="102"/>
      <c r="Y31" s="91"/>
      <c r="Z31" s="91"/>
      <c r="AA31" s="91"/>
      <c r="AB31" s="91"/>
      <c r="AC31" s="91"/>
      <c r="AD31" s="91"/>
      <c r="AE31" s="91"/>
      <c r="AF31" s="91"/>
      <c r="AG31" s="91"/>
      <c r="AH31" s="91"/>
      <c r="AI31" s="91"/>
      <c r="AJ31" s="91"/>
      <c r="AK31" s="91"/>
      <c r="AL31" s="91"/>
    </row>
    <row r="32" spans="2:38" ht="30" customHeight="1" thickBot="1">
      <c r="B32" s="627" t="s">
        <v>18</v>
      </c>
      <c r="C32" s="628"/>
      <c r="D32" s="629"/>
      <c r="E32" s="66" t="s">
        <v>36</v>
      </c>
      <c r="F32" s="66" t="s">
        <v>37</v>
      </c>
      <c r="G32" s="66" t="s">
        <v>38</v>
      </c>
      <c r="H32" s="84" t="s">
        <v>39</v>
      </c>
      <c r="R32" s="91"/>
      <c r="S32" s="91"/>
      <c r="T32" s="100"/>
      <c r="U32" s="91"/>
      <c r="V32" s="91"/>
      <c r="W32" s="91"/>
      <c r="X32" s="102"/>
      <c r="Y32" s="91"/>
      <c r="Z32" s="91"/>
      <c r="AA32" s="91"/>
      <c r="AB32" s="91"/>
      <c r="AC32" s="91"/>
      <c r="AD32" s="91"/>
      <c r="AE32" s="91"/>
      <c r="AF32" s="91"/>
      <c r="AG32" s="91"/>
      <c r="AH32" s="91"/>
      <c r="AI32" s="91"/>
      <c r="AJ32" s="91"/>
      <c r="AK32" s="91"/>
      <c r="AL32" s="91"/>
    </row>
    <row r="33" spans="2:38" ht="12.75" customHeight="1">
      <c r="B33" s="77"/>
      <c r="C33" s="158"/>
      <c r="D33" s="78"/>
      <c r="E33" s="79"/>
      <c r="F33" s="79"/>
      <c r="G33" s="79"/>
      <c r="H33" s="80"/>
      <c r="R33" s="91"/>
      <c r="S33" s="91"/>
      <c r="T33" s="100"/>
      <c r="U33" s="91"/>
      <c r="V33" s="91"/>
      <c r="W33" s="91"/>
      <c r="X33" s="102"/>
      <c r="Y33" s="91"/>
      <c r="Z33" s="91"/>
      <c r="AA33" s="91"/>
      <c r="AB33" s="91"/>
      <c r="AC33" s="91"/>
      <c r="AD33" s="91"/>
      <c r="AE33" s="91"/>
      <c r="AF33" s="91"/>
      <c r="AG33" s="91"/>
      <c r="AH33" s="91"/>
      <c r="AI33" s="91"/>
      <c r="AJ33" s="91"/>
      <c r="AK33" s="91"/>
      <c r="AL33" s="91"/>
    </row>
    <row r="34" spans="2:38" ht="16.5" customHeight="1">
      <c r="B34" s="73" t="s">
        <v>230</v>
      </c>
      <c r="C34" s="67"/>
      <c r="D34" s="64"/>
      <c r="E34" s="72">
        <v>335689.18</v>
      </c>
      <c r="F34" s="72">
        <v>693667.59</v>
      </c>
      <c r="G34" s="72">
        <v>973758.7</v>
      </c>
      <c r="H34" s="81">
        <v>1347226.29</v>
      </c>
      <c r="R34" s="91"/>
      <c r="S34" s="91"/>
      <c r="T34" s="100"/>
      <c r="U34" s="91"/>
      <c r="V34" s="91"/>
      <c r="W34" s="91"/>
      <c r="X34" s="102"/>
      <c r="Y34" s="91"/>
      <c r="Z34" s="91"/>
      <c r="AA34" s="91"/>
      <c r="AB34" s="91"/>
      <c r="AC34" s="91"/>
      <c r="AD34" s="91"/>
      <c r="AE34" s="91"/>
      <c r="AF34" s="91"/>
      <c r="AG34" s="91"/>
      <c r="AH34" s="91"/>
      <c r="AI34" s="91"/>
      <c r="AJ34" s="91"/>
      <c r="AK34" s="91"/>
      <c r="AL34" s="91"/>
    </row>
    <row r="35" spans="2:38" ht="16.5" customHeight="1">
      <c r="B35" s="71" t="s">
        <v>232</v>
      </c>
      <c r="C35" s="64"/>
      <c r="D35" s="64"/>
      <c r="E35" s="72">
        <v>166.73</v>
      </c>
      <c r="F35" s="72">
        <v>382.14</v>
      </c>
      <c r="G35" s="72">
        <v>1122.09</v>
      </c>
      <c r="H35" s="81">
        <v>4798.61</v>
      </c>
      <c r="R35" s="91"/>
      <c r="S35" s="91"/>
      <c r="T35" s="100"/>
      <c r="U35" s="91"/>
      <c r="V35" s="91"/>
      <c r="W35" s="91"/>
      <c r="X35" s="102"/>
      <c r="Y35" s="91"/>
      <c r="Z35" s="91"/>
      <c r="AA35" s="91"/>
      <c r="AB35" s="91"/>
      <c r="AC35" s="91"/>
      <c r="AD35" s="91"/>
      <c r="AE35" s="91"/>
      <c r="AF35" s="91"/>
      <c r="AG35" s="91"/>
      <c r="AH35" s="91"/>
      <c r="AI35" s="91"/>
      <c r="AJ35" s="91"/>
      <c r="AK35" s="91"/>
      <c r="AL35" s="91"/>
    </row>
    <row r="36" spans="2:38" ht="16.5" customHeight="1">
      <c r="B36" s="71" t="s">
        <v>1243</v>
      </c>
      <c r="C36" s="64"/>
      <c r="D36" s="64"/>
      <c r="E36" s="72">
        <v>1828.14</v>
      </c>
      <c r="F36" s="72">
        <v>3656.28</v>
      </c>
      <c r="G36" s="72">
        <v>5484.42</v>
      </c>
      <c r="H36" s="81">
        <v>7312.56</v>
      </c>
      <c r="R36" s="91"/>
      <c r="S36" s="91"/>
      <c r="T36" s="100"/>
      <c r="U36" s="91"/>
      <c r="V36" s="91"/>
      <c r="W36" s="91"/>
      <c r="X36" s="102"/>
      <c r="Y36" s="91"/>
      <c r="Z36" s="91"/>
      <c r="AA36" s="91"/>
      <c r="AB36" s="91"/>
      <c r="AC36" s="91"/>
      <c r="AD36" s="91"/>
      <c r="AE36" s="91"/>
      <c r="AF36" s="91"/>
      <c r="AG36" s="91"/>
      <c r="AH36" s="91"/>
      <c r="AI36" s="91"/>
      <c r="AJ36" s="91"/>
      <c r="AK36" s="91"/>
      <c r="AL36" s="91"/>
    </row>
    <row r="37" spans="2:38" ht="16.5" customHeight="1">
      <c r="B37" s="71" t="s">
        <v>233</v>
      </c>
      <c r="C37" s="64"/>
      <c r="D37" s="64"/>
      <c r="E37" s="72">
        <v>222689.5</v>
      </c>
      <c r="F37" s="72">
        <v>441541.16</v>
      </c>
      <c r="G37" s="72">
        <v>672015.83</v>
      </c>
      <c r="H37" s="81">
        <v>933823.69</v>
      </c>
      <c r="R37" s="91"/>
      <c r="S37" s="91"/>
      <c r="T37" s="100"/>
      <c r="U37" s="91"/>
      <c r="V37" s="91"/>
      <c r="W37" s="91"/>
      <c r="X37" s="102"/>
      <c r="Y37" s="91"/>
      <c r="Z37" s="91"/>
      <c r="AA37" s="91"/>
      <c r="AB37" s="91"/>
      <c r="AC37" s="91"/>
      <c r="AD37" s="91"/>
      <c r="AE37" s="91"/>
      <c r="AF37" s="91"/>
      <c r="AG37" s="91"/>
      <c r="AH37" s="91"/>
      <c r="AI37" s="91"/>
      <c r="AJ37" s="91"/>
      <c r="AK37" s="91"/>
      <c r="AL37" s="91"/>
    </row>
    <row r="38" spans="2:38" ht="16.5" customHeight="1">
      <c r="B38" s="71" t="s">
        <v>234</v>
      </c>
      <c r="C38" s="64"/>
      <c r="D38" s="64"/>
      <c r="E38" s="72">
        <v>106558.93</v>
      </c>
      <c r="F38" s="72">
        <v>127819.98</v>
      </c>
      <c r="G38" s="72">
        <v>148511.29</v>
      </c>
      <c r="H38" s="81">
        <v>167009.38</v>
      </c>
      <c r="R38" s="91"/>
      <c r="S38" s="91"/>
      <c r="T38" s="100"/>
      <c r="U38" s="91"/>
      <c r="V38" s="91"/>
      <c r="W38" s="91"/>
      <c r="X38" s="102"/>
      <c r="Y38" s="91"/>
      <c r="Z38" s="91"/>
      <c r="AA38" s="91"/>
      <c r="AB38" s="91"/>
      <c r="AC38" s="91"/>
      <c r="AD38" s="91"/>
      <c r="AE38" s="91"/>
      <c r="AF38" s="91"/>
      <c r="AG38" s="91"/>
      <c r="AH38" s="91"/>
      <c r="AI38" s="91"/>
      <c r="AJ38" s="91"/>
      <c r="AK38" s="91"/>
      <c r="AL38" s="91"/>
    </row>
    <row r="39" spans="2:38" ht="16.5" customHeight="1">
      <c r="B39" s="71" t="s">
        <v>266</v>
      </c>
      <c r="C39" s="64"/>
      <c r="D39" s="64"/>
      <c r="E39" s="72">
        <v>1757.45</v>
      </c>
      <c r="F39" s="72">
        <v>3339.68</v>
      </c>
      <c r="G39" s="72">
        <v>4908.88</v>
      </c>
      <c r="H39" s="81">
        <v>6867.77</v>
      </c>
      <c r="R39" s="91"/>
      <c r="S39" s="91"/>
      <c r="T39" s="100"/>
      <c r="U39" s="91"/>
      <c r="V39" s="91"/>
      <c r="W39" s="91"/>
      <c r="X39" s="102"/>
      <c r="Y39" s="91"/>
      <c r="Z39" s="91"/>
      <c r="AA39" s="91"/>
      <c r="AB39" s="91"/>
      <c r="AC39" s="91"/>
      <c r="AD39" s="91"/>
      <c r="AE39" s="91"/>
      <c r="AF39" s="91"/>
      <c r="AG39" s="91"/>
      <c r="AH39" s="91"/>
      <c r="AI39" s="91"/>
      <c r="AJ39" s="91"/>
      <c r="AK39" s="91"/>
      <c r="AL39" s="91"/>
    </row>
    <row r="40" spans="2:38" ht="12.75" customHeight="1" thickBot="1">
      <c r="B40" s="82"/>
      <c r="C40" s="65"/>
      <c r="D40" s="54"/>
      <c r="E40" s="62"/>
      <c r="F40" s="62"/>
      <c r="G40" s="62"/>
      <c r="H40" s="83"/>
      <c r="R40" s="91"/>
      <c r="S40" s="91"/>
      <c r="T40" s="100"/>
      <c r="U40" s="91"/>
      <c r="V40" s="91"/>
      <c r="W40" s="91"/>
      <c r="X40" s="102"/>
      <c r="Y40" s="91"/>
      <c r="Z40" s="91"/>
      <c r="AA40" s="91"/>
      <c r="AB40" s="91"/>
      <c r="AC40" s="91"/>
      <c r="AD40" s="91"/>
      <c r="AE40" s="91"/>
      <c r="AF40" s="91"/>
      <c r="AG40" s="91"/>
      <c r="AH40" s="91"/>
      <c r="AI40" s="91"/>
      <c r="AJ40" s="91"/>
      <c r="AK40" s="91"/>
      <c r="AL40" s="91"/>
    </row>
    <row r="41" spans="2:38" ht="18" customHeight="1" thickBot="1">
      <c r="B41" s="634" t="s">
        <v>17</v>
      </c>
      <c r="C41" s="635"/>
      <c r="D41" s="636"/>
      <c r="E41" s="76">
        <f>SUM(E34:E39)</f>
        <v>668689.9299999999</v>
      </c>
      <c r="F41" s="76">
        <f>SUM(F34:F39)</f>
        <v>1270406.8299999998</v>
      </c>
      <c r="G41" s="76">
        <f>SUM(G34:G39)</f>
        <v>1805801.21</v>
      </c>
      <c r="H41" s="164">
        <f>SUM(H34:H39)</f>
        <v>2467038.3000000003</v>
      </c>
      <c r="R41" s="91"/>
      <c r="S41" s="91"/>
      <c r="T41" s="100"/>
      <c r="U41" s="91"/>
      <c r="V41" s="91"/>
      <c r="W41" s="91"/>
      <c r="X41" s="102"/>
      <c r="Y41" s="91"/>
      <c r="Z41" s="91"/>
      <c r="AA41" s="91"/>
      <c r="AB41" s="91"/>
      <c r="AC41" s="91"/>
      <c r="AD41" s="91"/>
      <c r="AE41" s="91"/>
      <c r="AF41" s="91"/>
      <c r="AG41" s="91"/>
      <c r="AH41" s="91"/>
      <c r="AI41" s="91"/>
      <c r="AJ41" s="91"/>
      <c r="AK41" s="91"/>
      <c r="AL41" s="91"/>
    </row>
    <row r="42" spans="2:38" ht="18" customHeight="1" thickBot="1">
      <c r="B42" s="642">
        <f>IF(COMANDOBLOQUEADO!U6="1º TRIMESTRE",LOGICA!AC107,IF(COMANDOBLOQUEADO!U6="2º TRIMESTRE",LOGICA!AD107,IF(COMANDOBLOQUEADO!U6="3º TRIMESTRE",LOGICA!AE107,LOGICA!AF107)))</f>
      </c>
      <c r="C42" s="643"/>
      <c r="D42" s="643"/>
      <c r="E42" s="643"/>
      <c r="F42" s="643"/>
      <c r="G42" s="643"/>
      <c r="H42" s="643"/>
      <c r="R42" s="91"/>
      <c r="S42" s="91"/>
      <c r="T42" s="100"/>
      <c r="U42" s="91"/>
      <c r="V42" s="91"/>
      <c r="W42" s="91"/>
      <c r="X42" s="102"/>
      <c r="Y42" s="91"/>
      <c r="Z42" s="91"/>
      <c r="AA42" s="91"/>
      <c r="AB42" s="91"/>
      <c r="AC42" s="91"/>
      <c r="AD42" s="91"/>
      <c r="AE42" s="91"/>
      <c r="AF42" s="91"/>
      <c r="AG42" s="91"/>
      <c r="AH42" s="91"/>
      <c r="AI42" s="91"/>
      <c r="AJ42" s="91"/>
      <c r="AK42" s="91"/>
      <c r="AL42" s="91"/>
    </row>
    <row r="43" spans="2:38" ht="30" customHeight="1" thickBot="1">
      <c r="B43" s="627" t="s">
        <v>19</v>
      </c>
      <c r="C43" s="637"/>
      <c r="D43" s="638"/>
      <c r="E43" s="66" t="s">
        <v>36</v>
      </c>
      <c r="F43" s="66" t="s">
        <v>40</v>
      </c>
      <c r="G43" s="66" t="s">
        <v>41</v>
      </c>
      <c r="H43" s="84" t="s">
        <v>42</v>
      </c>
      <c r="R43" s="91"/>
      <c r="S43" s="91"/>
      <c r="T43" s="100"/>
      <c r="U43" s="91"/>
      <c r="V43" s="91"/>
      <c r="W43" s="91"/>
      <c r="X43" s="102"/>
      <c r="Y43" s="91"/>
      <c r="Z43" s="91"/>
      <c r="AA43" s="91"/>
      <c r="AB43" s="91"/>
      <c r="AC43" s="91"/>
      <c r="AD43" s="91"/>
      <c r="AE43" s="91"/>
      <c r="AF43" s="91"/>
      <c r="AG43" s="91"/>
      <c r="AH43" s="91"/>
      <c r="AI43" s="91"/>
      <c r="AJ43" s="91"/>
      <c r="AK43" s="91"/>
      <c r="AL43" s="91"/>
    </row>
    <row r="44" spans="2:38" ht="12.75" customHeight="1">
      <c r="B44" s="639"/>
      <c r="C44" s="640"/>
      <c r="D44" s="640"/>
      <c r="E44" s="70"/>
      <c r="F44" s="70"/>
      <c r="G44" s="70"/>
      <c r="H44" s="85"/>
      <c r="R44" s="91"/>
      <c r="S44" s="91"/>
      <c r="T44" s="100"/>
      <c r="U44" s="91"/>
      <c r="V44" s="91"/>
      <c r="W44" s="91"/>
      <c r="X44" s="102"/>
      <c r="Y44" s="91"/>
      <c r="Z44" s="91"/>
      <c r="AA44" s="91"/>
      <c r="AB44" s="91"/>
      <c r="AC44" s="91"/>
      <c r="AD44" s="91"/>
      <c r="AE44" s="91"/>
      <c r="AF44" s="91"/>
      <c r="AG44" s="91"/>
      <c r="AH44" s="91"/>
      <c r="AI44" s="91"/>
      <c r="AJ44" s="91"/>
      <c r="AK44" s="91"/>
      <c r="AL44" s="91"/>
    </row>
    <row r="45" spans="2:38" ht="16.5" customHeight="1">
      <c r="B45" s="82" t="s">
        <v>20</v>
      </c>
      <c r="C45" s="65"/>
      <c r="D45" s="54"/>
      <c r="E45" s="72">
        <v>1804720.86</v>
      </c>
      <c r="F45" s="86">
        <v>3469840.22</v>
      </c>
      <c r="G45" s="72">
        <v>4576007.85</v>
      </c>
      <c r="H45" s="81">
        <v>6242462.49</v>
      </c>
      <c r="R45" s="91"/>
      <c r="S45" s="91"/>
      <c r="T45" s="100"/>
      <c r="U45" s="91"/>
      <c r="V45" s="91"/>
      <c r="W45" s="91"/>
      <c r="X45" s="102"/>
      <c r="Y45" s="91"/>
      <c r="Z45" s="91"/>
      <c r="AA45" s="91"/>
      <c r="AB45" s="91"/>
      <c r="AC45" s="91"/>
      <c r="AD45" s="91"/>
      <c r="AE45" s="91"/>
      <c r="AF45" s="91"/>
      <c r="AG45" s="91"/>
      <c r="AH45" s="91"/>
      <c r="AI45" s="91"/>
      <c r="AJ45" s="91"/>
      <c r="AK45" s="91"/>
      <c r="AL45" s="91"/>
    </row>
    <row r="46" spans="2:38" ht="16.5" customHeight="1">
      <c r="B46" s="82" t="s">
        <v>1109</v>
      </c>
      <c r="C46" s="65"/>
      <c r="D46" s="54"/>
      <c r="E46" s="72">
        <f>8405.65+10734.28+1948.51</f>
        <v>21088.44</v>
      </c>
      <c r="F46" s="86">
        <f>18793.35+22887.04+1948.51</f>
        <v>43628.9</v>
      </c>
      <c r="G46" s="72">
        <v>65111.46</v>
      </c>
      <c r="H46" s="81">
        <v>85171.85</v>
      </c>
      <c r="R46" s="91"/>
      <c r="S46" s="91"/>
      <c r="T46" s="100"/>
      <c r="U46" s="91"/>
      <c r="V46" s="91"/>
      <c r="W46" s="91"/>
      <c r="X46" s="102"/>
      <c r="Y46" s="91"/>
      <c r="Z46" s="91"/>
      <c r="AA46" s="91"/>
      <c r="AB46" s="91"/>
      <c r="AC46" s="91"/>
      <c r="AD46" s="91"/>
      <c r="AE46" s="91"/>
      <c r="AF46" s="91"/>
      <c r="AG46" s="91"/>
      <c r="AH46" s="91"/>
      <c r="AI46" s="91"/>
      <c r="AJ46" s="91"/>
      <c r="AK46" s="91"/>
      <c r="AL46" s="91"/>
    </row>
    <row r="47" spans="2:38" ht="12.75" customHeight="1" thickBot="1">
      <c r="B47" s="82"/>
      <c r="C47" s="65"/>
      <c r="D47" s="54"/>
      <c r="E47" s="75"/>
      <c r="F47" s="75"/>
      <c r="G47" s="75"/>
      <c r="H47" s="167"/>
      <c r="R47" s="91"/>
      <c r="S47" s="91"/>
      <c r="T47" s="100"/>
      <c r="U47" s="91"/>
      <c r="V47" s="91"/>
      <c r="W47" s="91"/>
      <c r="X47" s="102"/>
      <c r="Y47" s="91"/>
      <c r="Z47" s="91"/>
      <c r="AA47" s="91"/>
      <c r="AB47" s="91"/>
      <c r="AC47" s="91"/>
      <c r="AD47" s="91"/>
      <c r="AE47" s="91"/>
      <c r="AF47" s="91"/>
      <c r="AG47" s="91"/>
      <c r="AH47" s="91"/>
      <c r="AI47" s="91"/>
      <c r="AJ47" s="91"/>
      <c r="AK47" s="91"/>
      <c r="AL47" s="91"/>
    </row>
    <row r="48" spans="2:38" ht="18" customHeight="1" thickBot="1">
      <c r="B48" s="634" t="s">
        <v>606</v>
      </c>
      <c r="C48" s="635"/>
      <c r="D48" s="635"/>
      <c r="E48" s="76">
        <f>SUM(E45:E46)</f>
        <v>1825809.3</v>
      </c>
      <c r="F48" s="76">
        <f>SUM(F45:F46)</f>
        <v>3513469.12</v>
      </c>
      <c r="G48" s="76">
        <f>SUM(G45:G46)</f>
        <v>4641119.31</v>
      </c>
      <c r="H48" s="164">
        <f>SUM(H45:H46)</f>
        <v>6327634.34</v>
      </c>
      <c r="R48" s="91"/>
      <c r="S48" s="91"/>
      <c r="T48" s="100"/>
      <c r="U48" s="91"/>
      <c r="V48" s="91"/>
      <c r="W48" s="91"/>
      <c r="X48" s="102"/>
      <c r="Y48" s="91"/>
      <c r="Z48" s="91"/>
      <c r="AA48" s="91"/>
      <c r="AB48" s="91"/>
      <c r="AC48" s="91"/>
      <c r="AD48" s="91"/>
      <c r="AE48" s="91"/>
      <c r="AF48" s="91"/>
      <c r="AG48" s="91"/>
      <c r="AH48" s="91"/>
      <c r="AI48" s="91"/>
      <c r="AJ48" s="91"/>
      <c r="AK48" s="91"/>
      <c r="AL48" s="91"/>
    </row>
    <row r="49" spans="1:38" ht="12" customHeight="1" hidden="1">
      <c r="A49" s="108"/>
      <c r="B49" s="109" t="s">
        <v>197</v>
      </c>
      <c r="C49" s="110"/>
      <c r="D49" s="110"/>
      <c r="E49" s="168"/>
      <c r="F49" s="168"/>
      <c r="G49" s="168"/>
      <c r="H49" s="168"/>
      <c r="I49" s="91"/>
      <c r="J49" s="92"/>
      <c r="K49" s="91"/>
      <c r="L49" s="91"/>
      <c r="M49" s="91"/>
      <c r="N49" s="91"/>
      <c r="O49" s="91"/>
      <c r="P49" s="91"/>
      <c r="Q49" s="91"/>
      <c r="R49" s="91"/>
      <c r="S49" s="91"/>
      <c r="T49" s="91"/>
      <c r="U49" s="91"/>
      <c r="V49" s="91"/>
      <c r="W49" s="91"/>
      <c r="X49" s="91"/>
      <c r="Y49" s="91"/>
      <c r="Z49" s="91"/>
      <c r="AA49" s="91"/>
      <c r="AB49" s="91"/>
      <c r="AC49" s="91"/>
      <c r="AD49" s="91"/>
      <c r="AE49" s="91"/>
      <c r="AF49" s="91"/>
      <c r="AG49" s="91"/>
      <c r="AH49" s="91"/>
      <c r="AI49" s="91"/>
      <c r="AJ49" s="91"/>
      <c r="AK49" s="91"/>
      <c r="AL49" s="91"/>
    </row>
    <row r="50" spans="1:38" ht="12" customHeight="1" hidden="1">
      <c r="A50" s="108"/>
      <c r="B50" s="109" t="s">
        <v>196</v>
      </c>
      <c r="C50" s="110"/>
      <c r="D50" s="110"/>
      <c r="E50" s="111"/>
      <c r="F50" s="111"/>
      <c r="G50" s="111"/>
      <c r="H50" s="111"/>
      <c r="I50" s="91"/>
      <c r="J50" s="92"/>
      <c r="K50" s="91"/>
      <c r="L50" s="91"/>
      <c r="M50" s="91"/>
      <c r="N50" s="91"/>
      <c r="O50" s="91"/>
      <c r="P50" s="91"/>
      <c r="Q50" s="91"/>
      <c r="R50" s="91"/>
      <c r="S50" s="91"/>
      <c r="T50" s="91"/>
      <c r="U50" s="91"/>
      <c r="V50" s="91"/>
      <c r="W50" s="91"/>
      <c r="X50" s="91"/>
      <c r="Y50" s="91"/>
      <c r="Z50" s="91"/>
      <c r="AA50" s="91"/>
      <c r="AB50" s="91"/>
      <c r="AC50" s="91"/>
      <c r="AD50" s="91"/>
      <c r="AE50" s="91"/>
      <c r="AF50" s="91"/>
      <c r="AG50" s="91"/>
      <c r="AH50" s="91"/>
      <c r="AI50" s="91"/>
      <c r="AJ50" s="91"/>
      <c r="AK50" s="91"/>
      <c r="AL50" s="91"/>
    </row>
    <row r="51" spans="1:38" ht="12" customHeight="1" hidden="1">
      <c r="A51" s="108"/>
      <c r="B51" s="109" t="s">
        <v>227</v>
      </c>
      <c r="C51" s="110"/>
      <c r="D51" s="110"/>
      <c r="E51" s="111"/>
      <c r="F51" s="111"/>
      <c r="G51" s="111"/>
      <c r="H51" s="111"/>
      <c r="I51" s="91"/>
      <c r="J51" s="92"/>
      <c r="K51" s="91"/>
      <c r="L51" s="91"/>
      <c r="M51" s="91"/>
      <c r="N51" s="91"/>
      <c r="O51" s="91"/>
      <c r="P51" s="91"/>
      <c r="Q51" s="91"/>
      <c r="R51" s="91"/>
      <c r="S51" s="91"/>
      <c r="T51" s="91"/>
      <c r="U51" s="91"/>
      <c r="V51" s="91"/>
      <c r="W51" s="91"/>
      <c r="X51" s="91"/>
      <c r="Y51" s="91"/>
      <c r="Z51" s="91"/>
      <c r="AA51" s="91"/>
      <c r="AB51" s="91"/>
      <c r="AC51" s="91"/>
      <c r="AD51" s="91"/>
      <c r="AE51" s="91"/>
      <c r="AF51" s="91"/>
      <c r="AG51" s="91"/>
      <c r="AH51" s="91"/>
      <c r="AI51" s="91"/>
      <c r="AJ51" s="91"/>
      <c r="AK51" s="91"/>
      <c r="AL51" s="91"/>
    </row>
    <row r="52" spans="1:38" ht="12" customHeight="1" hidden="1" thickBot="1">
      <c r="A52" s="108"/>
      <c r="B52" s="112" t="s">
        <v>228</v>
      </c>
      <c r="C52" s="113"/>
      <c r="D52" s="113"/>
      <c r="E52" s="114">
        <f>SUM(E49:E51)</f>
        <v>0</v>
      </c>
      <c r="F52" s="114"/>
      <c r="G52" s="114"/>
      <c r="H52" s="114"/>
      <c r="I52" s="91"/>
      <c r="J52" s="92"/>
      <c r="K52" s="91"/>
      <c r="L52" s="91"/>
      <c r="M52" s="91"/>
      <c r="N52" s="91"/>
      <c r="O52" s="91"/>
      <c r="P52" s="91"/>
      <c r="Q52" s="91"/>
      <c r="R52" s="91"/>
      <c r="S52" s="91"/>
      <c r="T52" s="91"/>
      <c r="U52" s="91"/>
      <c r="V52" s="91"/>
      <c r="W52" s="91"/>
      <c r="X52" s="91"/>
      <c r="Y52" s="91"/>
      <c r="Z52" s="91"/>
      <c r="AA52" s="91"/>
      <c r="AB52" s="91"/>
      <c r="AC52" s="91"/>
      <c r="AD52" s="91"/>
      <c r="AE52" s="91"/>
      <c r="AF52" s="91"/>
      <c r="AG52" s="91"/>
      <c r="AH52" s="91"/>
      <c r="AI52" s="91"/>
      <c r="AJ52" s="91"/>
      <c r="AK52" s="91"/>
      <c r="AL52" s="91"/>
    </row>
    <row r="53" spans="1:38" ht="12" customHeight="1" hidden="1">
      <c r="A53" s="108"/>
      <c r="B53" s="108"/>
      <c r="C53" s="108"/>
      <c r="D53" s="108"/>
      <c r="E53" s="108"/>
      <c r="F53" s="108"/>
      <c r="G53" s="108"/>
      <c r="H53" s="108"/>
      <c r="L53" s="91"/>
      <c r="M53" s="91"/>
      <c r="N53" s="91"/>
      <c r="O53" s="91"/>
      <c r="P53" s="91"/>
      <c r="Q53" s="91"/>
      <c r="R53" s="91"/>
      <c r="S53" s="91"/>
      <c r="T53" s="91"/>
      <c r="U53" s="91"/>
      <c r="V53" s="91"/>
      <c r="W53" s="91"/>
      <c r="X53" s="91"/>
      <c r="Y53" s="91"/>
      <c r="Z53" s="91"/>
      <c r="AA53" s="91"/>
      <c r="AB53" s="91"/>
      <c r="AC53" s="91"/>
      <c r="AD53" s="91"/>
      <c r="AE53" s="91"/>
      <c r="AF53" s="91"/>
      <c r="AG53" s="91"/>
      <c r="AH53" s="91"/>
      <c r="AI53" s="91"/>
      <c r="AJ53" s="91"/>
      <c r="AK53" s="91"/>
      <c r="AL53" s="91"/>
    </row>
    <row r="54" spans="1:38" ht="12" customHeight="1" hidden="1">
      <c r="A54" s="108"/>
      <c r="B54" s="115" t="s">
        <v>270</v>
      </c>
      <c r="C54" s="115"/>
      <c r="D54" s="108"/>
      <c r="E54" s="108"/>
      <c r="F54" s="108"/>
      <c r="G54" s="108"/>
      <c r="H54" s="108"/>
      <c r="L54" s="91"/>
      <c r="M54" s="91"/>
      <c r="N54" s="91"/>
      <c r="O54" s="91"/>
      <c r="P54" s="91"/>
      <c r="Q54" s="91"/>
      <c r="R54" s="91"/>
      <c r="S54" s="91"/>
      <c r="T54" s="91"/>
      <c r="U54" s="91"/>
      <c r="V54" s="91"/>
      <c r="W54" s="91"/>
      <c r="X54" s="91"/>
      <c r="Y54" s="91"/>
      <c r="Z54" s="91"/>
      <c r="AA54" s="91"/>
      <c r="AB54" s="91"/>
      <c r="AC54" s="91"/>
      <c r="AD54" s="91"/>
      <c r="AE54" s="91"/>
      <c r="AF54" s="91"/>
      <c r="AG54" s="91"/>
      <c r="AH54" s="91"/>
      <c r="AI54" s="91"/>
      <c r="AJ54" s="91"/>
      <c r="AK54" s="91"/>
      <c r="AL54" s="91"/>
    </row>
    <row r="55" spans="1:38" ht="12" customHeight="1" hidden="1">
      <c r="A55" s="108"/>
      <c r="B55" s="116"/>
      <c r="C55" s="116"/>
      <c r="D55" s="108"/>
      <c r="E55" s="108"/>
      <c r="F55" s="108"/>
      <c r="G55" s="108"/>
      <c r="H55" s="108"/>
      <c r="L55" s="91"/>
      <c r="M55" s="91"/>
      <c r="N55" s="91"/>
      <c r="O55" s="91"/>
      <c r="P55" s="91"/>
      <c r="Q55" s="91"/>
      <c r="R55" s="91"/>
      <c r="S55" s="91"/>
      <c r="T55" s="91"/>
      <c r="U55" s="91"/>
      <c r="V55" s="91"/>
      <c r="W55" s="91"/>
      <c r="X55" s="91"/>
      <c r="Y55" s="91"/>
      <c r="Z55" s="91"/>
      <c r="AA55" s="91"/>
      <c r="AB55" s="91"/>
      <c r="AC55" s="91"/>
      <c r="AD55" s="91"/>
      <c r="AE55" s="91"/>
      <c r="AF55" s="91"/>
      <c r="AG55" s="91"/>
      <c r="AH55" s="91"/>
      <c r="AI55" s="91"/>
      <c r="AJ55" s="91"/>
      <c r="AK55" s="91"/>
      <c r="AL55" s="91"/>
    </row>
    <row r="56" spans="1:38" ht="12" customHeight="1">
      <c r="A56" s="108"/>
      <c r="B56" s="630"/>
      <c r="C56" s="630"/>
      <c r="D56" s="630"/>
      <c r="E56" s="631"/>
      <c r="F56" s="631"/>
      <c r="G56" s="631"/>
      <c r="H56" s="631"/>
      <c r="I56" s="631"/>
      <c r="J56" s="631"/>
      <c r="L56" s="91"/>
      <c r="M56" s="91"/>
      <c r="N56" s="91"/>
      <c r="O56" s="91"/>
      <c r="P56" s="91"/>
      <c r="Q56" s="91"/>
      <c r="R56" s="91"/>
      <c r="S56" s="91"/>
      <c r="T56" s="91"/>
      <c r="U56" s="91"/>
      <c r="V56" s="91"/>
      <c r="W56" s="91"/>
      <c r="X56" s="91"/>
      <c r="Y56" s="91"/>
      <c r="Z56" s="91"/>
      <c r="AA56" s="91"/>
      <c r="AB56" s="91"/>
      <c r="AC56" s="91"/>
      <c r="AD56" s="91"/>
      <c r="AE56" s="91"/>
      <c r="AF56" s="91"/>
      <c r="AG56" s="91"/>
      <c r="AH56" s="91"/>
      <c r="AI56" s="91"/>
      <c r="AJ56" s="91"/>
      <c r="AK56" s="91"/>
      <c r="AL56" s="91"/>
    </row>
    <row r="57" spans="2:38" ht="12" customHeight="1">
      <c r="B57" s="63"/>
      <c r="E57" s="63"/>
      <c r="F57" s="63"/>
      <c r="G57" s="63"/>
      <c r="H57" s="63"/>
      <c r="L57" s="91"/>
      <c r="M57" s="91"/>
      <c r="N57" s="91"/>
      <c r="O57" s="91"/>
      <c r="P57" s="91"/>
      <c r="Q57" s="91"/>
      <c r="R57" s="91"/>
      <c r="S57" s="91"/>
      <c r="T57" s="91"/>
      <c r="U57" s="91"/>
      <c r="V57" s="91"/>
      <c r="W57" s="91"/>
      <c r="X57" s="91"/>
      <c r="Y57" s="91"/>
      <c r="Z57" s="91"/>
      <c r="AA57" s="91"/>
      <c r="AB57" s="91"/>
      <c r="AC57" s="91"/>
      <c r="AD57" s="91"/>
      <c r="AE57" s="91"/>
      <c r="AF57" s="91"/>
      <c r="AG57" s="91"/>
      <c r="AH57" s="91"/>
      <c r="AI57" s="91"/>
      <c r="AJ57" s="91"/>
      <c r="AK57" s="91"/>
      <c r="AL57" s="91"/>
    </row>
    <row r="58" spans="12:38" ht="12" customHeight="1">
      <c r="L58" s="91"/>
      <c r="M58" s="91"/>
      <c r="N58" s="91"/>
      <c r="O58" s="91"/>
      <c r="P58" s="91"/>
      <c r="Q58" s="91"/>
      <c r="R58" s="91"/>
      <c r="S58" s="91"/>
      <c r="T58" s="91"/>
      <c r="U58" s="91"/>
      <c r="V58" s="91"/>
      <c r="W58" s="91"/>
      <c r="X58" s="91"/>
      <c r="Y58" s="91"/>
      <c r="Z58" s="91"/>
      <c r="AA58" s="91"/>
      <c r="AB58" s="91"/>
      <c r="AC58" s="91"/>
      <c r="AD58" s="91"/>
      <c r="AE58" s="91"/>
      <c r="AF58" s="91"/>
      <c r="AG58" s="91"/>
      <c r="AH58" s="91"/>
      <c r="AI58" s="91"/>
      <c r="AJ58" s="91"/>
      <c r="AK58" s="91"/>
      <c r="AL58" s="91"/>
    </row>
  </sheetData>
  <sheetProtection password="DEF0" sheet="1" objects="1" scenarios="1"/>
  <mergeCells count="16">
    <mergeCell ref="B56:J56"/>
    <mergeCell ref="B23:D23"/>
    <mergeCell ref="B41:D41"/>
    <mergeCell ref="B43:D43"/>
    <mergeCell ref="B44:D44"/>
    <mergeCell ref="B30:D30"/>
    <mergeCell ref="B48:D48"/>
    <mergeCell ref="B28:D28"/>
    <mergeCell ref="B32:D32"/>
    <mergeCell ref="B42:H42"/>
    <mergeCell ref="D2:E2"/>
    <mergeCell ref="B22:D22"/>
    <mergeCell ref="B16:D16"/>
    <mergeCell ref="B29:D29"/>
    <mergeCell ref="B4:H4"/>
    <mergeCell ref="B6:D6"/>
  </mergeCells>
  <printOptions horizontalCentered="1"/>
  <pageMargins left="0.7874015748031497" right="0.5118110236220472" top="0.5905511811023623" bottom="0.3937007874015748" header="0" footer="0"/>
  <pageSetup horizontalDpi="180" verticalDpi="180" orientation="landscape" paperSize="9" scale="63" r:id="rId2"/>
  <headerFooter alignWithMargins="0">
    <oddHeader>&amp;C&amp;8
    &amp;R
</oddHeader>
  </headerFooter>
  <legacyDrawing r:id="rId1"/>
</worksheet>
</file>

<file path=xl/worksheets/sheet9.xml><?xml version="1.0" encoding="utf-8"?>
<worksheet xmlns="http://schemas.openxmlformats.org/spreadsheetml/2006/main" xmlns:r="http://schemas.openxmlformats.org/officeDocument/2006/relationships">
  <sheetPr codeName="Plan18"/>
  <dimension ref="A2:AL61"/>
  <sheetViews>
    <sheetView showGridLines="0" showRowColHeaders="0" zoomScale="88" zoomScaleNormal="88" zoomScalePageLayoutView="0" workbookViewId="0" topLeftCell="A1">
      <selection activeCell="H47" sqref="H47"/>
    </sheetView>
  </sheetViews>
  <sheetFormatPr defaultColWidth="0" defaultRowHeight="12" customHeight="1"/>
  <cols>
    <col min="1" max="1" width="0.71875" style="55" customWidth="1"/>
    <col min="2" max="2" width="30.7109375" style="55" customWidth="1"/>
    <col min="3" max="3" width="20.7109375" style="55" customWidth="1"/>
    <col min="4" max="4" width="25.7109375" style="55" customWidth="1"/>
    <col min="5" max="8" width="31.7109375" style="55" customWidth="1"/>
    <col min="9" max="9" width="1.7109375" style="55" customWidth="1"/>
    <col min="10" max="10" width="15.421875" style="56" hidden="1" customWidth="1"/>
    <col min="11" max="11" width="3.140625" style="55" hidden="1" customWidth="1"/>
    <col min="12" max="12" width="4.7109375" style="55" hidden="1" customWidth="1"/>
    <col min="13" max="13" width="11.421875" style="55" hidden="1" customWidth="1"/>
    <col min="14" max="14" width="6.28125" style="55" hidden="1" customWidth="1"/>
    <col min="15" max="16" width="11.421875" style="55" hidden="1" customWidth="1"/>
    <col min="17" max="17" width="6.28125" style="55" hidden="1" customWidth="1"/>
    <col min="18" max="16384" width="11.421875" style="55" hidden="1" customWidth="1"/>
  </cols>
  <sheetData>
    <row r="1" ht="7.5" customHeight="1"/>
    <row r="2" spans="2:38" ht="15" customHeight="1">
      <c r="B2" s="88" t="s">
        <v>1192</v>
      </c>
      <c r="C2" s="89" t="s">
        <v>194</v>
      </c>
      <c r="D2" s="620" t="str">
        <f>COMANDOBLOQUEADO!S19</f>
        <v>CESÁRIO LANGE</v>
      </c>
      <c r="E2" s="621"/>
      <c r="F2" s="90" t="s">
        <v>268</v>
      </c>
      <c r="G2" s="118" t="str">
        <f>COMANDOBLOQUEADO!U6</f>
        <v>4º TRIMESTRE</v>
      </c>
      <c r="H2" s="51" t="str">
        <f>COMANDOBLOQUEADO!Y6</f>
        <v>2009</v>
      </c>
      <c r="I2" s="91"/>
      <c r="J2" s="92"/>
      <c r="K2" s="91"/>
      <c r="L2" s="93"/>
      <c r="M2" s="91"/>
      <c r="N2" s="91"/>
      <c r="O2" s="91"/>
      <c r="P2" s="91"/>
      <c r="Q2" s="91"/>
      <c r="R2" s="91"/>
      <c r="S2" s="91"/>
      <c r="T2" s="91"/>
      <c r="U2" s="91"/>
      <c r="V2" s="91"/>
      <c r="W2" s="91"/>
      <c r="X2" s="91"/>
      <c r="Y2" s="91"/>
      <c r="Z2" s="91"/>
      <c r="AA2" s="91"/>
      <c r="AB2" s="94"/>
      <c r="AC2" s="91"/>
      <c r="AD2" s="91"/>
      <c r="AE2" s="91"/>
      <c r="AF2" s="91"/>
      <c r="AG2" s="91"/>
      <c r="AH2" s="91"/>
      <c r="AI2" s="91"/>
      <c r="AJ2" s="91"/>
      <c r="AK2" s="91"/>
      <c r="AL2" s="91"/>
    </row>
    <row r="3" spans="2:38" ht="9.75" customHeight="1">
      <c r="B3" s="59"/>
      <c r="C3" s="59"/>
      <c r="D3" s="59"/>
      <c r="E3" s="59"/>
      <c r="F3" s="59"/>
      <c r="G3" s="59"/>
      <c r="H3" s="59"/>
      <c r="I3" s="91"/>
      <c r="J3" s="92"/>
      <c r="K3" s="91"/>
      <c r="L3" s="93"/>
      <c r="M3" s="91"/>
      <c r="N3" s="91"/>
      <c r="O3" s="91"/>
      <c r="P3" s="91"/>
      <c r="Q3" s="91"/>
      <c r="R3" s="91"/>
      <c r="S3" s="91"/>
      <c r="T3" s="91"/>
      <c r="U3" s="91"/>
      <c r="V3" s="91"/>
      <c r="W3" s="91"/>
      <c r="X3" s="91"/>
      <c r="Y3" s="91"/>
      <c r="Z3" s="91"/>
      <c r="AA3" s="91"/>
      <c r="AB3" s="94"/>
      <c r="AC3" s="91"/>
      <c r="AD3" s="91"/>
      <c r="AE3" s="91"/>
      <c r="AF3" s="91"/>
      <c r="AG3" s="91"/>
      <c r="AH3" s="91"/>
      <c r="AI3" s="91"/>
      <c r="AJ3" s="91"/>
      <c r="AK3" s="91"/>
      <c r="AL3" s="91"/>
    </row>
    <row r="4" spans="2:38" ht="18">
      <c r="B4" s="625" t="s">
        <v>1194</v>
      </c>
      <c r="C4" s="625"/>
      <c r="D4" s="626"/>
      <c r="E4" s="626"/>
      <c r="F4" s="626"/>
      <c r="G4" s="626"/>
      <c r="H4" s="626"/>
      <c r="J4" s="55"/>
      <c r="R4" s="91"/>
      <c r="S4" s="91"/>
      <c r="T4" s="91"/>
      <c r="U4" s="91"/>
      <c r="V4" s="91"/>
      <c r="W4" s="91"/>
      <c r="X4" s="91"/>
      <c r="Y4" s="91"/>
      <c r="Z4" s="91"/>
      <c r="AA4" s="91"/>
      <c r="AB4" s="93"/>
      <c r="AC4" s="91"/>
      <c r="AD4" s="91"/>
      <c r="AE4" s="91"/>
      <c r="AF4" s="91"/>
      <c r="AG4" s="91"/>
      <c r="AH4" s="91"/>
      <c r="AI4" s="91"/>
      <c r="AJ4" s="91"/>
      <c r="AK4" s="91"/>
      <c r="AL4" s="91"/>
    </row>
    <row r="5" spans="2:38" ht="9.75" customHeight="1" thickBot="1">
      <c r="B5" s="59"/>
      <c r="C5" s="59"/>
      <c r="D5" s="59"/>
      <c r="E5" s="59"/>
      <c r="F5" s="59"/>
      <c r="G5" s="59"/>
      <c r="H5" s="59"/>
      <c r="J5" s="55"/>
      <c r="R5" s="91"/>
      <c r="S5" s="91"/>
      <c r="T5" s="91"/>
      <c r="U5" s="91"/>
      <c r="V5" s="91"/>
      <c r="W5" s="91"/>
      <c r="X5" s="91"/>
      <c r="Y5" s="91"/>
      <c r="Z5" s="91"/>
      <c r="AA5" s="91"/>
      <c r="AB5" s="93"/>
      <c r="AC5" s="91"/>
      <c r="AD5" s="91"/>
      <c r="AE5" s="91"/>
      <c r="AF5" s="91"/>
      <c r="AG5" s="91"/>
      <c r="AH5" s="91"/>
      <c r="AI5" s="91"/>
      <c r="AJ5" s="91"/>
      <c r="AK5" s="91"/>
      <c r="AL5" s="91"/>
    </row>
    <row r="6" spans="2:38" ht="30" customHeight="1" thickBot="1">
      <c r="B6" s="627" t="s">
        <v>1214</v>
      </c>
      <c r="C6" s="628"/>
      <c r="D6" s="629"/>
      <c r="E6" s="66" t="s">
        <v>36</v>
      </c>
      <c r="F6" s="66" t="s">
        <v>32</v>
      </c>
      <c r="G6" s="66" t="s">
        <v>33</v>
      </c>
      <c r="H6" s="84" t="s">
        <v>35</v>
      </c>
      <c r="R6" s="91"/>
      <c r="S6" s="91"/>
      <c r="T6" s="95"/>
      <c r="U6" s="91"/>
      <c r="V6" s="91"/>
      <c r="W6" s="91"/>
      <c r="X6" s="91"/>
      <c r="Y6" s="91"/>
      <c r="Z6" s="91"/>
      <c r="AA6" s="91"/>
      <c r="AB6" s="93"/>
      <c r="AC6" s="91"/>
      <c r="AD6" s="91"/>
      <c r="AE6" s="91"/>
      <c r="AF6" s="91"/>
      <c r="AG6" s="91"/>
      <c r="AH6" s="91"/>
      <c r="AI6" s="91"/>
      <c r="AJ6" s="91"/>
      <c r="AK6" s="91"/>
      <c r="AL6" s="91"/>
    </row>
    <row r="7" spans="2:38" ht="3" customHeight="1">
      <c r="B7" s="96"/>
      <c r="C7" s="117"/>
      <c r="D7" s="97"/>
      <c r="E7" s="97"/>
      <c r="F7" s="97"/>
      <c r="G7" s="97"/>
      <c r="H7" s="165"/>
      <c r="R7" s="91"/>
      <c r="S7" s="91"/>
      <c r="T7" s="91"/>
      <c r="U7" s="91"/>
      <c r="V7" s="91"/>
      <c r="W7" s="91"/>
      <c r="X7" s="91"/>
      <c r="Y7" s="91"/>
      <c r="Z7" s="91"/>
      <c r="AA7" s="91"/>
      <c r="AB7" s="91"/>
      <c r="AC7" s="91"/>
      <c r="AD7" s="91"/>
      <c r="AE7" s="91"/>
      <c r="AF7" s="91"/>
      <c r="AG7" s="91"/>
      <c r="AH7" s="91"/>
      <c r="AI7" s="91"/>
      <c r="AJ7" s="91"/>
      <c r="AK7" s="91"/>
      <c r="AL7" s="91"/>
    </row>
    <row r="8" spans="2:38" ht="15" customHeight="1">
      <c r="B8" s="655" t="s">
        <v>1196</v>
      </c>
      <c r="C8" s="647"/>
      <c r="D8" s="647"/>
      <c r="E8" s="70"/>
      <c r="F8" s="70"/>
      <c r="G8" s="70"/>
      <c r="H8" s="85"/>
      <c r="R8" s="91"/>
      <c r="S8" s="91"/>
      <c r="T8" s="98"/>
      <c r="U8" s="93"/>
      <c r="V8" s="91"/>
      <c r="W8" s="91"/>
      <c r="X8" s="91"/>
      <c r="Y8" s="91"/>
      <c r="Z8" s="91"/>
      <c r="AA8" s="91"/>
      <c r="AB8" s="93"/>
      <c r="AC8" s="91"/>
      <c r="AD8" s="91"/>
      <c r="AE8" s="91"/>
      <c r="AF8" s="91"/>
      <c r="AG8" s="91"/>
      <c r="AH8" s="91"/>
      <c r="AI8" s="99"/>
      <c r="AJ8" s="91"/>
      <c r="AK8" s="91"/>
      <c r="AL8" s="91"/>
    </row>
    <row r="9" spans="2:38" ht="16.5" customHeight="1">
      <c r="B9" s="646" t="s">
        <v>1197</v>
      </c>
      <c r="C9" s="647"/>
      <c r="D9" s="648"/>
      <c r="E9" s="72">
        <v>0</v>
      </c>
      <c r="F9" s="72">
        <v>0</v>
      </c>
      <c r="G9" s="72">
        <v>0</v>
      </c>
      <c r="H9" s="81">
        <v>0</v>
      </c>
      <c r="R9" s="91"/>
      <c r="S9" s="91"/>
      <c r="T9" s="100"/>
      <c r="U9" s="101"/>
      <c r="V9" s="91"/>
      <c r="W9" s="91"/>
      <c r="X9" s="102"/>
      <c r="Y9" s="91"/>
      <c r="Z9" s="91"/>
      <c r="AA9" s="91"/>
      <c r="AB9" s="91"/>
      <c r="AC9" s="91"/>
      <c r="AD9" s="91"/>
      <c r="AE9" s="91"/>
      <c r="AF9" s="91"/>
      <c r="AG9" s="91"/>
      <c r="AH9" s="91"/>
      <c r="AI9" s="91"/>
      <c r="AJ9" s="91"/>
      <c r="AK9" s="91"/>
      <c r="AL9" s="91"/>
    </row>
    <row r="10" spans="2:38" ht="16.5" customHeight="1" thickBot="1">
      <c r="B10" s="654" t="s">
        <v>1112</v>
      </c>
      <c r="C10" s="647"/>
      <c r="D10" s="648"/>
      <c r="E10" s="163">
        <v>0</v>
      </c>
      <c r="F10" s="163">
        <v>0</v>
      </c>
      <c r="G10" s="163">
        <v>0</v>
      </c>
      <c r="H10" s="166">
        <v>0</v>
      </c>
      <c r="R10" s="103"/>
      <c r="S10" s="91"/>
      <c r="T10" s="100"/>
      <c r="U10" s="91"/>
      <c r="V10" s="91"/>
      <c r="W10" s="91"/>
      <c r="X10" s="102"/>
      <c r="Y10" s="91"/>
      <c r="Z10" s="91"/>
      <c r="AA10" s="91"/>
      <c r="AB10" s="91"/>
      <c r="AC10" s="91"/>
      <c r="AD10" s="91"/>
      <c r="AE10" s="91"/>
      <c r="AF10" s="91"/>
      <c r="AG10" s="91"/>
      <c r="AH10" s="91"/>
      <c r="AI10" s="91"/>
      <c r="AJ10" s="91"/>
      <c r="AK10" s="91"/>
      <c r="AL10" s="91"/>
    </row>
    <row r="11" spans="2:38" ht="16.5" customHeight="1" thickBot="1">
      <c r="B11" s="622" t="s">
        <v>1195</v>
      </c>
      <c r="C11" s="623"/>
      <c r="D11" s="624"/>
      <c r="E11" s="235">
        <f>SUM(E9:E10)</f>
        <v>0</v>
      </c>
      <c r="F11" s="76">
        <f>SUM(F9:F10)</f>
        <v>0</v>
      </c>
      <c r="G11" s="76">
        <f>SUM(G9:G10)</f>
        <v>0</v>
      </c>
      <c r="H11" s="164">
        <f>SUM(H9:H10)</f>
        <v>0</v>
      </c>
      <c r="R11" s="91"/>
      <c r="S11" s="91"/>
      <c r="T11" s="100"/>
      <c r="U11" s="91"/>
      <c r="V11" s="91"/>
      <c r="W11" s="91"/>
      <c r="X11" s="102"/>
      <c r="Y11" s="102"/>
      <c r="Z11" s="91"/>
      <c r="AA11" s="91"/>
      <c r="AB11" s="93"/>
      <c r="AC11" s="91"/>
      <c r="AD11" s="91"/>
      <c r="AE11" s="91"/>
      <c r="AF11" s="91"/>
      <c r="AG11" s="91"/>
      <c r="AH11" s="91"/>
      <c r="AI11" s="91"/>
      <c r="AJ11" s="91"/>
      <c r="AK11" s="91"/>
      <c r="AL11" s="91"/>
    </row>
    <row r="12" spans="2:38" ht="6" customHeight="1">
      <c r="B12" s="53"/>
      <c r="C12" s="54"/>
      <c r="D12" s="54"/>
      <c r="E12" s="62"/>
      <c r="F12" s="62"/>
      <c r="G12" s="62"/>
      <c r="H12" s="83"/>
      <c r="R12" s="91"/>
      <c r="S12" s="91"/>
      <c r="T12" s="100"/>
      <c r="U12" s="91"/>
      <c r="V12" s="91"/>
      <c r="W12" s="91"/>
      <c r="X12" s="102"/>
      <c r="Y12" s="102"/>
      <c r="Z12" s="91"/>
      <c r="AA12" s="91"/>
      <c r="AB12" s="93"/>
      <c r="AC12" s="91"/>
      <c r="AD12" s="91"/>
      <c r="AE12" s="91"/>
      <c r="AF12" s="91"/>
      <c r="AG12" s="91"/>
      <c r="AH12" s="91"/>
      <c r="AI12" s="91"/>
      <c r="AJ12" s="91"/>
      <c r="AK12" s="91"/>
      <c r="AL12" s="91"/>
    </row>
    <row r="13" spans="2:38" ht="15" customHeight="1">
      <c r="B13" s="655" t="s">
        <v>770</v>
      </c>
      <c r="C13" s="647"/>
      <c r="D13" s="647"/>
      <c r="E13" s="75"/>
      <c r="F13" s="75"/>
      <c r="G13" s="75"/>
      <c r="H13" s="167"/>
      <c r="R13" s="91"/>
      <c r="S13" s="91"/>
      <c r="T13" s="105"/>
      <c r="U13" s="94"/>
      <c r="V13" s="91"/>
      <c r="W13" s="91"/>
      <c r="X13" s="102"/>
      <c r="Y13" s="91"/>
      <c r="Z13" s="91"/>
      <c r="AA13" s="91"/>
      <c r="AB13" s="91"/>
      <c r="AC13" s="91"/>
      <c r="AD13" s="91"/>
      <c r="AE13" s="91"/>
      <c r="AF13" s="91"/>
      <c r="AG13" s="91"/>
      <c r="AH13" s="91"/>
      <c r="AI13" s="91"/>
      <c r="AJ13" s="91"/>
      <c r="AK13" s="91"/>
      <c r="AL13" s="91"/>
    </row>
    <row r="14" spans="2:38" ht="16.5" customHeight="1">
      <c r="B14" s="654" t="s">
        <v>1198</v>
      </c>
      <c r="C14" s="647"/>
      <c r="D14" s="648"/>
      <c r="E14" s="72">
        <v>0</v>
      </c>
      <c r="F14" s="72">
        <v>55055.39</v>
      </c>
      <c r="G14" s="72">
        <v>74720</v>
      </c>
      <c r="H14" s="81">
        <v>104600</v>
      </c>
      <c r="R14" s="103"/>
      <c r="S14" s="91"/>
      <c r="T14" s="100"/>
      <c r="U14" s="91"/>
      <c r="V14" s="91"/>
      <c r="W14" s="91"/>
      <c r="X14" s="102"/>
      <c r="Y14" s="91"/>
      <c r="Z14" s="91"/>
      <c r="AA14" s="91"/>
      <c r="AB14" s="93"/>
      <c r="AC14" s="91"/>
      <c r="AD14" s="91"/>
      <c r="AE14" s="91"/>
      <c r="AF14" s="91"/>
      <c r="AG14" s="91"/>
      <c r="AH14" s="102"/>
      <c r="AI14" s="91"/>
      <c r="AJ14" s="91"/>
      <c r="AK14" s="91"/>
      <c r="AL14" s="91"/>
    </row>
    <row r="15" spans="2:38" ht="16.5" customHeight="1">
      <c r="B15" s="646" t="s">
        <v>920</v>
      </c>
      <c r="C15" s="647"/>
      <c r="D15" s="648"/>
      <c r="E15" s="72">
        <v>0</v>
      </c>
      <c r="F15" s="72">
        <v>0</v>
      </c>
      <c r="G15" s="72">
        <v>0</v>
      </c>
      <c r="H15" s="81">
        <v>0</v>
      </c>
      <c r="R15" s="91"/>
      <c r="S15" s="91"/>
      <c r="T15" s="100"/>
      <c r="U15" s="91"/>
      <c r="V15" s="91"/>
      <c r="W15" s="91"/>
      <c r="X15" s="102"/>
      <c r="Y15" s="91"/>
      <c r="Z15" s="91"/>
      <c r="AA15" s="91"/>
      <c r="AB15" s="91"/>
      <c r="AC15" s="91"/>
      <c r="AD15" s="91"/>
      <c r="AE15" s="91"/>
      <c r="AF15" s="91"/>
      <c r="AG15" s="91"/>
      <c r="AH15" s="91"/>
      <c r="AI15" s="91"/>
      <c r="AJ15" s="91"/>
      <c r="AK15" s="91"/>
      <c r="AL15" s="91"/>
    </row>
    <row r="16" spans="2:38" ht="16.5" customHeight="1">
      <c r="B16" s="646" t="s">
        <v>1199</v>
      </c>
      <c r="C16" s="647"/>
      <c r="D16" s="648"/>
      <c r="E16" s="72">
        <v>0</v>
      </c>
      <c r="F16" s="72">
        <v>0</v>
      </c>
      <c r="G16" s="72">
        <v>0</v>
      </c>
      <c r="H16" s="81">
        <v>0</v>
      </c>
      <c r="R16" s="91"/>
      <c r="S16" s="91"/>
      <c r="T16" s="100"/>
      <c r="U16" s="91"/>
      <c r="V16" s="91"/>
      <c r="W16" s="91"/>
      <c r="X16" s="102"/>
      <c r="Y16" s="91"/>
      <c r="Z16" s="91"/>
      <c r="AA16" s="91"/>
      <c r="AB16" s="91"/>
      <c r="AC16" s="91"/>
      <c r="AD16" s="91"/>
      <c r="AE16" s="91"/>
      <c r="AF16" s="91"/>
      <c r="AG16" s="91"/>
      <c r="AH16" s="91"/>
      <c r="AI16" s="91"/>
      <c r="AJ16" s="91"/>
      <c r="AK16" s="91"/>
      <c r="AL16" s="91"/>
    </row>
    <row r="17" spans="2:38" ht="16.5" customHeight="1">
      <c r="B17" s="651" t="s">
        <v>1042</v>
      </c>
      <c r="C17" s="652"/>
      <c r="D17" s="653"/>
      <c r="E17" s="72">
        <v>0</v>
      </c>
      <c r="F17" s="72">
        <v>0</v>
      </c>
      <c r="G17" s="72">
        <v>0</v>
      </c>
      <c r="H17" s="81">
        <v>138648</v>
      </c>
      <c r="R17" s="91"/>
      <c r="S17" s="91"/>
      <c r="T17" s="100"/>
      <c r="U17" s="91"/>
      <c r="V17" s="91"/>
      <c r="W17" s="91"/>
      <c r="X17" s="102"/>
      <c r="Y17" s="91"/>
      <c r="Z17" s="91"/>
      <c r="AA17" s="91"/>
      <c r="AB17" s="91"/>
      <c r="AC17" s="91"/>
      <c r="AD17" s="91"/>
      <c r="AE17" s="91"/>
      <c r="AF17" s="91"/>
      <c r="AG17" s="91"/>
      <c r="AH17" s="91"/>
      <c r="AI17" s="91"/>
      <c r="AJ17" s="91"/>
      <c r="AK17" s="91"/>
      <c r="AL17" s="91"/>
    </row>
    <row r="18" spans="2:38" ht="16.5" customHeight="1">
      <c r="B18" s="651" t="s">
        <v>696</v>
      </c>
      <c r="C18" s="652"/>
      <c r="D18" s="653"/>
      <c r="E18" s="72">
        <v>11066.68</v>
      </c>
      <c r="F18" s="72">
        <v>19366.69</v>
      </c>
      <c r="G18" s="72">
        <v>27666.7</v>
      </c>
      <c r="H18" s="81">
        <v>33200.04</v>
      </c>
      <c r="R18" s="91"/>
      <c r="S18" s="91"/>
      <c r="T18" s="100"/>
      <c r="U18" s="91"/>
      <c r="V18" s="91"/>
      <c r="W18" s="91"/>
      <c r="X18" s="102"/>
      <c r="Y18" s="91"/>
      <c r="Z18" s="91"/>
      <c r="AA18" s="91"/>
      <c r="AB18" s="91"/>
      <c r="AC18" s="91"/>
      <c r="AD18" s="91"/>
      <c r="AE18" s="91"/>
      <c r="AF18" s="91"/>
      <c r="AG18" s="91"/>
      <c r="AH18" s="91"/>
      <c r="AI18" s="91"/>
      <c r="AJ18" s="91"/>
      <c r="AK18" s="91"/>
      <c r="AL18" s="91"/>
    </row>
    <row r="19" spans="2:38" ht="16.5" customHeight="1">
      <c r="B19" s="651" t="s">
        <v>733</v>
      </c>
      <c r="C19" s="652"/>
      <c r="D19" s="653"/>
      <c r="E19" s="72">
        <v>0</v>
      </c>
      <c r="F19" s="72">
        <v>3683.1</v>
      </c>
      <c r="G19" s="72">
        <v>9294.84</v>
      </c>
      <c r="H19" s="81">
        <v>16914.16</v>
      </c>
      <c r="R19" s="91"/>
      <c r="S19" s="91"/>
      <c r="T19" s="100"/>
      <c r="U19" s="91"/>
      <c r="V19" s="91"/>
      <c r="W19" s="91"/>
      <c r="X19" s="102"/>
      <c r="Y19" s="91"/>
      <c r="Z19" s="91"/>
      <c r="AA19" s="91"/>
      <c r="AB19" s="91"/>
      <c r="AC19" s="91"/>
      <c r="AD19" s="91"/>
      <c r="AE19" s="91"/>
      <c r="AF19" s="91"/>
      <c r="AG19" s="91"/>
      <c r="AH19" s="91"/>
      <c r="AI19" s="91"/>
      <c r="AJ19" s="91"/>
      <c r="AK19" s="91"/>
      <c r="AL19" s="91"/>
    </row>
    <row r="20" spans="2:38" ht="16.5" customHeight="1">
      <c r="B20" s="651" t="s">
        <v>734</v>
      </c>
      <c r="C20" s="652"/>
      <c r="D20" s="653"/>
      <c r="E20" s="72">
        <v>229849.99</v>
      </c>
      <c r="F20" s="72">
        <v>413592.5</v>
      </c>
      <c r="G20" s="72">
        <v>606631.63</v>
      </c>
      <c r="H20" s="81">
        <v>805254.85</v>
      </c>
      <c r="R20" s="91"/>
      <c r="S20" s="91"/>
      <c r="T20" s="100"/>
      <c r="U20" s="91"/>
      <c r="V20" s="91"/>
      <c r="W20" s="91"/>
      <c r="X20" s="102"/>
      <c r="Y20" s="91"/>
      <c r="Z20" s="91"/>
      <c r="AA20" s="91"/>
      <c r="AB20" s="91"/>
      <c r="AC20" s="91"/>
      <c r="AD20" s="91"/>
      <c r="AE20" s="91"/>
      <c r="AF20" s="91"/>
      <c r="AG20" s="91"/>
      <c r="AH20" s="91"/>
      <c r="AI20" s="91"/>
      <c r="AJ20" s="91"/>
      <c r="AK20" s="91"/>
      <c r="AL20" s="91"/>
    </row>
    <row r="21" spans="2:38" ht="16.5" customHeight="1">
      <c r="B21" s="651" t="s">
        <v>698</v>
      </c>
      <c r="C21" s="652"/>
      <c r="D21" s="653"/>
      <c r="E21" s="72">
        <v>0</v>
      </c>
      <c r="F21" s="72">
        <v>29439.96</v>
      </c>
      <c r="G21" s="72">
        <v>58879.82</v>
      </c>
      <c r="H21" s="81">
        <v>88320</v>
      </c>
      <c r="R21" s="91"/>
      <c r="S21" s="91"/>
      <c r="T21" s="100"/>
      <c r="U21" s="91"/>
      <c r="V21" s="91"/>
      <c r="W21" s="91"/>
      <c r="X21" s="102"/>
      <c r="Y21" s="91"/>
      <c r="Z21" s="91"/>
      <c r="AA21" s="91"/>
      <c r="AB21" s="91"/>
      <c r="AC21" s="91"/>
      <c r="AD21" s="91"/>
      <c r="AE21" s="91"/>
      <c r="AF21" s="91"/>
      <c r="AG21" s="91"/>
      <c r="AH21" s="91"/>
      <c r="AI21" s="91"/>
      <c r="AJ21" s="91"/>
      <c r="AK21" s="91"/>
      <c r="AL21" s="91"/>
    </row>
    <row r="22" spans="2:38" ht="16.5" customHeight="1">
      <c r="B22" s="651" t="s">
        <v>880</v>
      </c>
      <c r="C22" s="652"/>
      <c r="D22" s="653"/>
      <c r="E22" s="72">
        <v>0</v>
      </c>
      <c r="F22" s="72">
        <v>0</v>
      </c>
      <c r="G22" s="72">
        <v>0</v>
      </c>
      <c r="H22" s="81">
        <v>0</v>
      </c>
      <c r="R22" s="91"/>
      <c r="S22" s="91"/>
      <c r="T22" s="100"/>
      <c r="U22" s="91"/>
      <c r="V22" s="91"/>
      <c r="W22" s="91"/>
      <c r="X22" s="102"/>
      <c r="Y22" s="91"/>
      <c r="Z22" s="91"/>
      <c r="AA22" s="91"/>
      <c r="AB22" s="91"/>
      <c r="AC22" s="91"/>
      <c r="AD22" s="91"/>
      <c r="AE22" s="91"/>
      <c r="AF22" s="91"/>
      <c r="AG22" s="91"/>
      <c r="AH22" s="91"/>
      <c r="AI22" s="91"/>
      <c r="AJ22" s="91"/>
      <c r="AK22" s="91"/>
      <c r="AL22" s="91"/>
    </row>
    <row r="23" spans="2:38" ht="16.5" customHeight="1" thickBot="1">
      <c r="B23" s="651" t="s">
        <v>879</v>
      </c>
      <c r="C23" s="652"/>
      <c r="D23" s="653"/>
      <c r="E23" s="163">
        <v>194888.14</v>
      </c>
      <c r="F23" s="163">
        <v>194888.14</v>
      </c>
      <c r="G23" s="163">
        <v>194888.14</v>
      </c>
      <c r="H23" s="166">
        <v>194888.14</v>
      </c>
      <c r="R23" s="91"/>
      <c r="S23" s="91"/>
      <c r="T23" s="100"/>
      <c r="U23" s="91"/>
      <c r="V23" s="91"/>
      <c r="W23" s="91"/>
      <c r="X23" s="102"/>
      <c r="Y23" s="91"/>
      <c r="Z23" s="91"/>
      <c r="AA23" s="91"/>
      <c r="AB23" s="91"/>
      <c r="AC23" s="91"/>
      <c r="AD23" s="91"/>
      <c r="AE23" s="91"/>
      <c r="AF23" s="91"/>
      <c r="AG23" s="91"/>
      <c r="AH23" s="91"/>
      <c r="AI23" s="91"/>
      <c r="AJ23" s="91"/>
      <c r="AK23" s="91"/>
      <c r="AL23" s="91"/>
    </row>
    <row r="24" spans="2:38" ht="16.5" customHeight="1" thickBot="1">
      <c r="B24" s="622" t="s">
        <v>1200</v>
      </c>
      <c r="C24" s="623"/>
      <c r="D24" s="624"/>
      <c r="E24" s="235">
        <f>SUM(E14:E23)</f>
        <v>435804.81</v>
      </c>
      <c r="F24" s="76">
        <f>SUM(F14:F23)</f>
        <v>716025.78</v>
      </c>
      <c r="G24" s="76">
        <f>SUM(G14:G23)</f>
        <v>972081.13</v>
      </c>
      <c r="H24" s="164">
        <f>SUM(H14:H23)</f>
        <v>1381825.19</v>
      </c>
      <c r="R24" s="91"/>
      <c r="S24" s="91"/>
      <c r="T24" s="100"/>
      <c r="U24" s="101"/>
      <c r="V24" s="91"/>
      <c r="W24" s="91"/>
      <c r="X24" s="102"/>
      <c r="Y24" s="91"/>
      <c r="Z24" s="91"/>
      <c r="AA24" s="91"/>
      <c r="AB24" s="91"/>
      <c r="AC24" s="91"/>
      <c r="AD24" s="91"/>
      <c r="AE24" s="91"/>
      <c r="AF24" s="91"/>
      <c r="AG24" s="91"/>
      <c r="AH24" s="102"/>
      <c r="AI24" s="104"/>
      <c r="AJ24" s="91"/>
      <c r="AK24" s="91"/>
      <c r="AL24" s="91"/>
    </row>
    <row r="25" spans="2:38" ht="12.75" customHeight="1" thickBot="1">
      <c r="B25" s="622"/>
      <c r="C25" s="623"/>
      <c r="D25" s="623"/>
      <c r="E25" s="62"/>
      <c r="F25" s="62"/>
      <c r="G25" s="62"/>
      <c r="H25" s="83"/>
      <c r="R25" s="91"/>
      <c r="S25" s="91"/>
      <c r="T25" s="100"/>
      <c r="U25" s="91"/>
      <c r="V25" s="91"/>
      <c r="W25" s="91"/>
      <c r="X25" s="102"/>
      <c r="Y25" s="91"/>
      <c r="Z25" s="91"/>
      <c r="AA25" s="91"/>
      <c r="AB25" s="91"/>
      <c r="AC25" s="91"/>
      <c r="AD25" s="91"/>
      <c r="AE25" s="91"/>
      <c r="AF25" s="91"/>
      <c r="AG25" s="91"/>
      <c r="AH25" s="91"/>
      <c r="AI25" s="91"/>
      <c r="AJ25" s="91"/>
      <c r="AK25" s="91"/>
      <c r="AL25" s="91"/>
    </row>
    <row r="26" spans="2:38" ht="18" customHeight="1" thickBot="1">
      <c r="B26" s="634" t="s">
        <v>1215</v>
      </c>
      <c r="C26" s="635"/>
      <c r="D26" s="641"/>
      <c r="E26" s="76">
        <f>E11+E24+E25</f>
        <v>435804.81</v>
      </c>
      <c r="F26" s="76">
        <f>F11+F24+F25</f>
        <v>716025.78</v>
      </c>
      <c r="G26" s="76">
        <f>G11+G24+G25</f>
        <v>972081.13</v>
      </c>
      <c r="H26" s="164">
        <f>H11+H24+H25</f>
        <v>1381825.19</v>
      </c>
      <c r="R26" s="91"/>
      <c r="S26" s="91"/>
      <c r="T26" s="100"/>
      <c r="U26" s="91"/>
      <c r="V26" s="91"/>
      <c r="W26" s="91"/>
      <c r="X26" s="102"/>
      <c r="Y26" s="91"/>
      <c r="Z26" s="91"/>
      <c r="AA26" s="91"/>
      <c r="AB26" s="91"/>
      <c r="AC26" s="91"/>
      <c r="AD26" s="91"/>
      <c r="AE26" s="91"/>
      <c r="AF26" s="91"/>
      <c r="AG26" s="91"/>
      <c r="AH26" s="91"/>
      <c r="AI26" s="91"/>
      <c r="AJ26" s="91"/>
      <c r="AK26" s="91"/>
      <c r="AL26" s="91"/>
    </row>
    <row r="27" spans="2:38" ht="9.75" customHeight="1" thickBot="1">
      <c r="B27" s="54"/>
      <c r="C27" s="54"/>
      <c r="D27" s="54"/>
      <c r="E27" s="62"/>
      <c r="F27" s="62"/>
      <c r="G27" s="62"/>
      <c r="H27" s="62"/>
      <c r="R27" s="91"/>
      <c r="S27" s="91"/>
      <c r="T27" s="100"/>
      <c r="U27" s="91"/>
      <c r="V27" s="91"/>
      <c r="W27" s="91"/>
      <c r="X27" s="102"/>
      <c r="Y27" s="91"/>
      <c r="Z27" s="91"/>
      <c r="AA27" s="91"/>
      <c r="AB27" s="91"/>
      <c r="AC27" s="91"/>
      <c r="AD27" s="91"/>
      <c r="AE27" s="91"/>
      <c r="AF27" s="91"/>
      <c r="AG27" s="91"/>
      <c r="AH27" s="91"/>
      <c r="AI27" s="91"/>
      <c r="AJ27" s="91"/>
      <c r="AK27" s="91"/>
      <c r="AL27" s="91"/>
    </row>
    <row r="28" spans="2:38" ht="30" customHeight="1" thickBot="1">
      <c r="B28" s="627" t="s">
        <v>1217</v>
      </c>
      <c r="C28" s="628"/>
      <c r="D28" s="629"/>
      <c r="E28" s="66" t="s">
        <v>36</v>
      </c>
      <c r="F28" s="66" t="s">
        <v>1219</v>
      </c>
      <c r="G28" s="66" t="s">
        <v>1220</v>
      </c>
      <c r="H28" s="84" t="s">
        <v>1221</v>
      </c>
      <c r="R28" s="91"/>
      <c r="S28" s="91"/>
      <c r="T28" s="100"/>
      <c r="U28" s="91"/>
      <c r="V28" s="91"/>
      <c r="W28" s="91"/>
      <c r="X28" s="102"/>
      <c r="Y28" s="91"/>
      <c r="Z28" s="91"/>
      <c r="AA28" s="91"/>
      <c r="AB28" s="91"/>
      <c r="AC28" s="91"/>
      <c r="AD28" s="91"/>
      <c r="AE28" s="91"/>
      <c r="AF28" s="91"/>
      <c r="AG28" s="91"/>
      <c r="AH28" s="91"/>
      <c r="AI28" s="91"/>
      <c r="AJ28" s="91"/>
      <c r="AK28" s="91"/>
      <c r="AL28" s="91"/>
    </row>
    <row r="29" spans="2:38" ht="9.75" customHeight="1">
      <c r="B29" s="649"/>
      <c r="C29" s="650"/>
      <c r="D29" s="650"/>
      <c r="E29" s="79"/>
      <c r="F29" s="79"/>
      <c r="G29" s="79"/>
      <c r="H29" s="80"/>
      <c r="R29" s="91"/>
      <c r="S29" s="91"/>
      <c r="T29" s="100"/>
      <c r="U29" s="91"/>
      <c r="V29" s="91"/>
      <c r="W29" s="91"/>
      <c r="X29" s="102"/>
      <c r="Y29" s="91"/>
      <c r="Z29" s="91"/>
      <c r="AA29" s="91"/>
      <c r="AB29" s="91"/>
      <c r="AC29" s="91"/>
      <c r="AD29" s="91"/>
      <c r="AE29" s="91"/>
      <c r="AF29" s="91"/>
      <c r="AG29" s="91"/>
      <c r="AH29" s="91"/>
      <c r="AI29" s="91"/>
      <c r="AJ29" s="91"/>
      <c r="AK29" s="91"/>
      <c r="AL29" s="91"/>
    </row>
    <row r="30" spans="2:38" ht="16.5" customHeight="1">
      <c r="B30" s="646" t="s">
        <v>1114</v>
      </c>
      <c r="C30" s="647"/>
      <c r="D30" s="648"/>
      <c r="E30" s="72">
        <v>0</v>
      </c>
      <c r="F30" s="72">
        <v>0</v>
      </c>
      <c r="G30" s="72">
        <v>0</v>
      </c>
      <c r="H30" s="81">
        <v>0</v>
      </c>
      <c r="R30" s="91"/>
      <c r="S30" s="91"/>
      <c r="T30" s="100"/>
      <c r="U30" s="91"/>
      <c r="V30" s="91"/>
      <c r="W30" s="91"/>
      <c r="X30" s="102"/>
      <c r="Y30" s="91"/>
      <c r="Z30" s="91"/>
      <c r="AA30" s="91"/>
      <c r="AB30" s="91"/>
      <c r="AC30" s="91"/>
      <c r="AD30" s="91"/>
      <c r="AE30" s="91"/>
      <c r="AF30" s="91"/>
      <c r="AG30" s="91"/>
      <c r="AH30" s="91"/>
      <c r="AI30" s="91"/>
      <c r="AJ30" s="91"/>
      <c r="AK30" s="91"/>
      <c r="AL30" s="91"/>
    </row>
    <row r="31" spans="2:38" ht="16.5" customHeight="1">
      <c r="B31" s="646" t="s">
        <v>1222</v>
      </c>
      <c r="C31" s="647"/>
      <c r="D31" s="648"/>
      <c r="E31" s="72">
        <v>0</v>
      </c>
      <c r="F31" s="72">
        <v>0</v>
      </c>
      <c r="G31" s="72">
        <v>0</v>
      </c>
      <c r="H31" s="81">
        <v>0</v>
      </c>
      <c r="R31" s="91"/>
      <c r="S31" s="91"/>
      <c r="T31" s="100"/>
      <c r="U31" s="91"/>
      <c r="V31" s="91"/>
      <c r="W31" s="91"/>
      <c r="X31" s="102"/>
      <c r="Y31" s="91"/>
      <c r="Z31" s="91"/>
      <c r="AA31" s="91"/>
      <c r="AB31" s="91"/>
      <c r="AC31" s="91"/>
      <c r="AD31" s="91"/>
      <c r="AE31" s="91"/>
      <c r="AF31" s="91"/>
      <c r="AG31" s="91"/>
      <c r="AH31" s="91"/>
      <c r="AI31" s="91"/>
      <c r="AJ31" s="91"/>
      <c r="AK31" s="91"/>
      <c r="AL31" s="91"/>
    </row>
    <row r="32" spans="2:38" ht="16.5" customHeight="1">
      <c r="B32" s="646" t="s">
        <v>1113</v>
      </c>
      <c r="C32" s="647"/>
      <c r="D32" s="648"/>
      <c r="E32" s="72">
        <v>0</v>
      </c>
      <c r="F32" s="72">
        <v>0</v>
      </c>
      <c r="G32" s="72">
        <v>0</v>
      </c>
      <c r="H32" s="81">
        <v>0</v>
      </c>
      <c r="R32" s="91"/>
      <c r="S32" s="91"/>
      <c r="T32" s="100"/>
      <c r="U32" s="91"/>
      <c r="V32" s="91"/>
      <c r="W32" s="91"/>
      <c r="X32" s="102"/>
      <c r="Y32" s="91"/>
      <c r="Z32" s="91"/>
      <c r="AA32" s="91"/>
      <c r="AB32" s="91"/>
      <c r="AC32" s="91"/>
      <c r="AD32" s="91"/>
      <c r="AE32" s="91"/>
      <c r="AF32" s="91"/>
      <c r="AG32" s="91"/>
      <c r="AH32" s="91"/>
      <c r="AI32" s="91"/>
      <c r="AJ32" s="91"/>
      <c r="AK32" s="91"/>
      <c r="AL32" s="91"/>
    </row>
    <row r="33" spans="2:38" ht="16.5" customHeight="1">
      <c r="B33" s="646" t="s">
        <v>1198</v>
      </c>
      <c r="C33" s="647"/>
      <c r="D33" s="648"/>
      <c r="E33" s="72">
        <v>0</v>
      </c>
      <c r="F33" s="72">
        <v>277.23</v>
      </c>
      <c r="G33" s="72">
        <v>334.4</v>
      </c>
      <c r="H33" s="81">
        <v>648.16</v>
      </c>
      <c r="R33" s="91"/>
      <c r="S33" s="91"/>
      <c r="T33" s="100"/>
      <c r="U33" s="91"/>
      <c r="V33" s="91"/>
      <c r="W33" s="91"/>
      <c r="X33" s="102"/>
      <c r="Y33" s="91"/>
      <c r="Z33" s="91"/>
      <c r="AA33" s="91"/>
      <c r="AB33" s="91"/>
      <c r="AC33" s="91"/>
      <c r="AD33" s="91"/>
      <c r="AE33" s="91"/>
      <c r="AF33" s="91"/>
      <c r="AG33" s="91"/>
      <c r="AH33" s="91"/>
      <c r="AI33" s="91"/>
      <c r="AJ33" s="91"/>
      <c r="AK33" s="91"/>
      <c r="AL33" s="91"/>
    </row>
    <row r="34" spans="2:38" ht="16.5" customHeight="1">
      <c r="B34" s="646" t="s">
        <v>920</v>
      </c>
      <c r="C34" s="647"/>
      <c r="D34" s="648"/>
      <c r="E34" s="72">
        <v>0</v>
      </c>
      <c r="F34" s="72">
        <v>0</v>
      </c>
      <c r="G34" s="72">
        <v>0</v>
      </c>
      <c r="H34" s="81">
        <v>0</v>
      </c>
      <c r="R34" s="91"/>
      <c r="S34" s="91"/>
      <c r="T34" s="100"/>
      <c r="U34" s="91"/>
      <c r="V34" s="91"/>
      <c r="W34" s="91"/>
      <c r="X34" s="102"/>
      <c r="Y34" s="91"/>
      <c r="Z34" s="91"/>
      <c r="AA34" s="91"/>
      <c r="AB34" s="91"/>
      <c r="AC34" s="91"/>
      <c r="AD34" s="91"/>
      <c r="AE34" s="91"/>
      <c r="AF34" s="91"/>
      <c r="AG34" s="91"/>
      <c r="AH34" s="91"/>
      <c r="AI34" s="91"/>
      <c r="AJ34" s="91"/>
      <c r="AK34" s="91"/>
      <c r="AL34" s="91"/>
    </row>
    <row r="35" spans="2:38" ht="16.5" customHeight="1">
      <c r="B35" s="646" t="s">
        <v>1199</v>
      </c>
      <c r="C35" s="647"/>
      <c r="D35" s="648"/>
      <c r="E35" s="72">
        <v>0</v>
      </c>
      <c r="F35" s="72">
        <v>0</v>
      </c>
      <c r="G35" s="72">
        <v>0</v>
      </c>
      <c r="H35" s="81">
        <v>0</v>
      </c>
      <c r="R35" s="91"/>
      <c r="S35" s="91"/>
      <c r="T35" s="100"/>
      <c r="U35" s="91"/>
      <c r="V35" s="91"/>
      <c r="W35" s="91"/>
      <c r="X35" s="102"/>
      <c r="Y35" s="91"/>
      <c r="Z35" s="91"/>
      <c r="AA35" s="91"/>
      <c r="AB35" s="91"/>
      <c r="AC35" s="91"/>
      <c r="AD35" s="91"/>
      <c r="AE35" s="91"/>
      <c r="AF35" s="91"/>
      <c r="AG35" s="91"/>
      <c r="AH35" s="91"/>
      <c r="AI35" s="91"/>
      <c r="AJ35" s="91"/>
      <c r="AK35" s="91"/>
      <c r="AL35" s="91"/>
    </row>
    <row r="36" spans="2:38" ht="16.5" customHeight="1">
      <c r="B36" s="651" t="s">
        <v>1042</v>
      </c>
      <c r="C36" s="652"/>
      <c r="D36" s="653"/>
      <c r="E36" s="72">
        <v>0</v>
      </c>
      <c r="F36" s="72">
        <v>0</v>
      </c>
      <c r="G36" s="72">
        <v>0</v>
      </c>
      <c r="H36" s="81">
        <v>3683.5</v>
      </c>
      <c r="R36" s="91"/>
      <c r="S36" s="91"/>
      <c r="T36" s="100"/>
      <c r="U36" s="91"/>
      <c r="V36" s="91"/>
      <c r="W36" s="91"/>
      <c r="X36" s="102"/>
      <c r="Y36" s="91"/>
      <c r="Z36" s="91"/>
      <c r="AA36" s="91"/>
      <c r="AB36" s="91"/>
      <c r="AC36" s="91"/>
      <c r="AD36" s="91"/>
      <c r="AE36" s="91"/>
      <c r="AF36" s="91"/>
      <c r="AG36" s="91"/>
      <c r="AH36" s="91"/>
      <c r="AI36" s="91"/>
      <c r="AJ36" s="91"/>
      <c r="AK36" s="91"/>
      <c r="AL36" s="91"/>
    </row>
    <row r="37" spans="2:38" ht="16.5" customHeight="1">
      <c r="B37" s="651" t="s">
        <v>211</v>
      </c>
      <c r="C37" s="652"/>
      <c r="D37" s="653"/>
      <c r="E37" s="72">
        <v>0</v>
      </c>
      <c r="F37" s="72">
        <v>20.54</v>
      </c>
      <c r="G37" s="72">
        <v>70.68</v>
      </c>
      <c r="H37" s="81">
        <v>128.53</v>
      </c>
      <c r="R37" s="91"/>
      <c r="S37" s="91"/>
      <c r="T37" s="100"/>
      <c r="U37" s="91"/>
      <c r="V37" s="91"/>
      <c r="W37" s="91"/>
      <c r="X37" s="102"/>
      <c r="Y37" s="91"/>
      <c r="Z37" s="91"/>
      <c r="AA37" s="91"/>
      <c r="AB37" s="91"/>
      <c r="AC37" s="91"/>
      <c r="AD37" s="91"/>
      <c r="AE37" s="91"/>
      <c r="AF37" s="91"/>
      <c r="AG37" s="91"/>
      <c r="AH37" s="91"/>
      <c r="AI37" s="91"/>
      <c r="AJ37" s="91"/>
      <c r="AK37" s="91"/>
      <c r="AL37" s="91"/>
    </row>
    <row r="38" spans="2:38" ht="16.5" customHeight="1">
      <c r="B38" s="651" t="s">
        <v>696</v>
      </c>
      <c r="C38" s="652"/>
      <c r="D38" s="653"/>
      <c r="E38" s="72">
        <v>79.75</v>
      </c>
      <c r="F38" s="72">
        <v>139.38</v>
      </c>
      <c r="G38" s="72">
        <v>159.71</v>
      </c>
      <c r="H38" s="81">
        <v>205.85</v>
      </c>
      <c r="R38" s="91"/>
      <c r="S38" s="91"/>
      <c r="T38" s="100"/>
      <c r="U38" s="91"/>
      <c r="V38" s="91"/>
      <c r="W38" s="91"/>
      <c r="X38" s="102"/>
      <c r="Y38" s="91"/>
      <c r="Z38" s="91"/>
      <c r="AA38" s="91"/>
      <c r="AB38" s="91"/>
      <c r="AC38" s="91"/>
      <c r="AD38" s="91"/>
      <c r="AE38" s="91"/>
      <c r="AF38" s="91"/>
      <c r="AG38" s="91"/>
      <c r="AH38" s="91"/>
      <c r="AI38" s="91"/>
      <c r="AJ38" s="91"/>
      <c r="AK38" s="91"/>
      <c r="AL38" s="91"/>
    </row>
    <row r="39" spans="2:38" ht="16.5" customHeight="1">
      <c r="B39" s="651" t="s">
        <v>698</v>
      </c>
      <c r="C39" s="652"/>
      <c r="D39" s="653"/>
      <c r="E39" s="72">
        <v>0</v>
      </c>
      <c r="F39" s="72">
        <v>0</v>
      </c>
      <c r="G39" s="72">
        <v>286.59</v>
      </c>
      <c r="H39" s="81">
        <v>286.59</v>
      </c>
      <c r="R39" s="91"/>
      <c r="S39" s="91"/>
      <c r="T39" s="100"/>
      <c r="U39" s="91"/>
      <c r="V39" s="91"/>
      <c r="W39" s="91"/>
      <c r="X39" s="102"/>
      <c r="Y39" s="91"/>
      <c r="Z39" s="91"/>
      <c r="AA39" s="91"/>
      <c r="AB39" s="91"/>
      <c r="AC39" s="91"/>
      <c r="AD39" s="91"/>
      <c r="AE39" s="91"/>
      <c r="AF39" s="91"/>
      <c r="AG39" s="91"/>
      <c r="AH39" s="91"/>
      <c r="AI39" s="91"/>
      <c r="AJ39" s="91"/>
      <c r="AK39" s="91"/>
      <c r="AL39" s="91"/>
    </row>
    <row r="40" spans="2:38" ht="16.5" customHeight="1">
      <c r="B40" s="651" t="s">
        <v>697</v>
      </c>
      <c r="C40" s="652"/>
      <c r="D40" s="653"/>
      <c r="E40" s="72">
        <v>2166.61</v>
      </c>
      <c r="F40" s="72">
        <v>4627.39</v>
      </c>
      <c r="G40" s="72">
        <v>6439.69</v>
      </c>
      <c r="H40" s="81">
        <v>7827.09</v>
      </c>
      <c r="R40" s="91"/>
      <c r="S40" s="91"/>
      <c r="T40" s="100"/>
      <c r="U40" s="91"/>
      <c r="V40" s="91"/>
      <c r="W40" s="91"/>
      <c r="X40" s="102"/>
      <c r="Y40" s="91"/>
      <c r="Z40" s="91"/>
      <c r="AA40" s="91"/>
      <c r="AB40" s="91"/>
      <c r="AC40" s="91"/>
      <c r="AD40" s="91"/>
      <c r="AE40" s="91"/>
      <c r="AF40" s="91"/>
      <c r="AG40" s="91"/>
      <c r="AH40" s="91"/>
      <c r="AI40" s="91"/>
      <c r="AJ40" s="91"/>
      <c r="AK40" s="91"/>
      <c r="AL40" s="91"/>
    </row>
    <row r="41" spans="2:38" ht="16.5" customHeight="1">
      <c r="B41" s="651" t="s">
        <v>880</v>
      </c>
      <c r="C41" s="652"/>
      <c r="D41" s="653"/>
      <c r="E41" s="72">
        <v>14088.85</v>
      </c>
      <c r="F41" s="72">
        <v>24629.96</v>
      </c>
      <c r="G41" s="72">
        <v>33298.69</v>
      </c>
      <c r="H41" s="81">
        <v>41516.57</v>
      </c>
      <c r="R41" s="91"/>
      <c r="S41" s="91"/>
      <c r="T41" s="100"/>
      <c r="U41" s="91"/>
      <c r="V41" s="91"/>
      <c r="W41" s="91"/>
      <c r="X41" s="102"/>
      <c r="Y41" s="91"/>
      <c r="Z41" s="91"/>
      <c r="AA41" s="91"/>
      <c r="AB41" s="91"/>
      <c r="AC41" s="91"/>
      <c r="AD41" s="91"/>
      <c r="AE41" s="91"/>
      <c r="AF41" s="91"/>
      <c r="AG41" s="91"/>
      <c r="AH41" s="91"/>
      <c r="AI41" s="91"/>
      <c r="AJ41" s="91"/>
      <c r="AK41" s="91"/>
      <c r="AL41" s="91"/>
    </row>
    <row r="42" spans="2:38" ht="12.75" customHeight="1" thickBot="1">
      <c r="B42" s="656"/>
      <c r="C42" s="657"/>
      <c r="D42" s="657"/>
      <c r="E42" s="62"/>
      <c r="F42" s="62"/>
      <c r="G42" s="62"/>
      <c r="H42" s="83"/>
      <c r="R42" s="91"/>
      <c r="S42" s="91"/>
      <c r="T42" s="100"/>
      <c r="U42" s="91"/>
      <c r="V42" s="91"/>
      <c r="W42" s="91"/>
      <c r="X42" s="102"/>
      <c r="Y42" s="91"/>
      <c r="Z42" s="91"/>
      <c r="AA42" s="91"/>
      <c r="AB42" s="91"/>
      <c r="AC42" s="91"/>
      <c r="AD42" s="91"/>
      <c r="AE42" s="91"/>
      <c r="AF42" s="91"/>
      <c r="AG42" s="91"/>
      <c r="AH42" s="91"/>
      <c r="AI42" s="91"/>
      <c r="AJ42" s="91"/>
      <c r="AK42" s="91"/>
      <c r="AL42" s="91"/>
    </row>
    <row r="43" spans="2:38" ht="18" customHeight="1" thickBot="1">
      <c r="B43" s="634" t="s">
        <v>1122</v>
      </c>
      <c r="C43" s="635"/>
      <c r="D43" s="636"/>
      <c r="E43" s="76">
        <f>SUM(E30:E41)</f>
        <v>16335.210000000001</v>
      </c>
      <c r="F43" s="76">
        <f>SUM(F30:F41)</f>
        <v>29694.5</v>
      </c>
      <c r="G43" s="76">
        <f>SUM(G30:G41)</f>
        <v>40589.76</v>
      </c>
      <c r="H43" s="164">
        <f>SUM(H30:H41)</f>
        <v>54296.29</v>
      </c>
      <c r="R43" s="91"/>
      <c r="S43" s="91"/>
      <c r="T43" s="100"/>
      <c r="U43" s="91"/>
      <c r="V43" s="91"/>
      <c r="W43" s="91"/>
      <c r="X43" s="102"/>
      <c r="Y43" s="91"/>
      <c r="Z43" s="91"/>
      <c r="AA43" s="91"/>
      <c r="AB43" s="91"/>
      <c r="AC43" s="91"/>
      <c r="AD43" s="91"/>
      <c r="AE43" s="91"/>
      <c r="AF43" s="91"/>
      <c r="AG43" s="91"/>
      <c r="AH43" s="91"/>
      <c r="AI43" s="91"/>
      <c r="AJ43" s="91"/>
      <c r="AK43" s="91"/>
      <c r="AL43" s="91"/>
    </row>
    <row r="44" spans="2:38" ht="9.75" customHeight="1" thickBot="1">
      <c r="B44" s="63"/>
      <c r="C44" s="63"/>
      <c r="D44" s="63"/>
      <c r="E44" s="62"/>
      <c r="F44" s="62"/>
      <c r="G44" s="62"/>
      <c r="H44" s="62"/>
      <c r="R44" s="91"/>
      <c r="S44" s="91"/>
      <c r="T44" s="100"/>
      <c r="U44" s="91"/>
      <c r="V44" s="91"/>
      <c r="W44" s="91"/>
      <c r="X44" s="102"/>
      <c r="Y44" s="91"/>
      <c r="Z44" s="91"/>
      <c r="AA44" s="91"/>
      <c r="AB44" s="91"/>
      <c r="AC44" s="91"/>
      <c r="AD44" s="91"/>
      <c r="AE44" s="91"/>
      <c r="AF44" s="91"/>
      <c r="AG44" s="91"/>
      <c r="AH44" s="91"/>
      <c r="AI44" s="91"/>
      <c r="AJ44" s="91"/>
      <c r="AK44" s="91"/>
      <c r="AL44" s="91"/>
    </row>
    <row r="45" spans="2:38" ht="30" customHeight="1" thickBot="1">
      <c r="B45" s="627" t="s">
        <v>1201</v>
      </c>
      <c r="C45" s="637"/>
      <c r="D45" s="638"/>
      <c r="E45" s="66" t="s">
        <v>36</v>
      </c>
      <c r="F45" s="66" t="s">
        <v>1225</v>
      </c>
      <c r="G45" s="66" t="s">
        <v>1227</v>
      </c>
      <c r="H45" s="84" t="s">
        <v>1228</v>
      </c>
      <c r="R45" s="91"/>
      <c r="S45" s="91"/>
      <c r="T45" s="100"/>
      <c r="U45" s="91"/>
      <c r="V45" s="91"/>
      <c r="W45" s="91"/>
      <c r="X45" s="102"/>
      <c r="Y45" s="91"/>
      <c r="Z45" s="91"/>
      <c r="AA45" s="91"/>
      <c r="AB45" s="91"/>
      <c r="AC45" s="91"/>
      <c r="AD45" s="91"/>
      <c r="AE45" s="91"/>
      <c r="AF45" s="91"/>
      <c r="AG45" s="91"/>
      <c r="AH45" s="91"/>
      <c r="AI45" s="91"/>
      <c r="AJ45" s="91"/>
      <c r="AK45" s="91"/>
      <c r="AL45" s="91"/>
    </row>
    <row r="46" spans="2:38" ht="9.75" customHeight="1">
      <c r="B46" s="639"/>
      <c r="C46" s="640"/>
      <c r="D46" s="640"/>
      <c r="E46" s="70"/>
      <c r="F46" s="70"/>
      <c r="G46" s="70"/>
      <c r="H46" s="85"/>
      <c r="R46" s="91"/>
      <c r="S46" s="91"/>
      <c r="T46" s="100"/>
      <c r="U46" s="91"/>
      <c r="V46" s="91"/>
      <c r="W46" s="91"/>
      <c r="X46" s="102"/>
      <c r="Y46" s="91"/>
      <c r="Z46" s="91"/>
      <c r="AA46" s="91"/>
      <c r="AB46" s="91"/>
      <c r="AC46" s="91"/>
      <c r="AD46" s="91"/>
      <c r="AE46" s="91"/>
      <c r="AF46" s="91"/>
      <c r="AG46" s="91"/>
      <c r="AH46" s="91"/>
      <c r="AI46" s="91"/>
      <c r="AJ46" s="91"/>
      <c r="AK46" s="91"/>
      <c r="AL46" s="91"/>
    </row>
    <row r="47" spans="2:38" ht="16.5" customHeight="1">
      <c r="B47" s="646" t="s">
        <v>1202</v>
      </c>
      <c r="C47" s="647"/>
      <c r="D47" s="648"/>
      <c r="E47" s="72">
        <v>0</v>
      </c>
      <c r="F47" s="72">
        <v>0</v>
      </c>
      <c r="G47" s="72">
        <v>0</v>
      </c>
      <c r="H47" s="81">
        <v>0</v>
      </c>
      <c r="R47" s="91"/>
      <c r="S47" s="91"/>
      <c r="T47" s="100"/>
      <c r="U47" s="91"/>
      <c r="V47" s="91"/>
      <c r="W47" s="91"/>
      <c r="X47" s="102"/>
      <c r="Y47" s="91"/>
      <c r="Z47" s="91"/>
      <c r="AA47" s="91"/>
      <c r="AB47" s="91"/>
      <c r="AC47" s="91"/>
      <c r="AD47" s="91"/>
      <c r="AE47" s="91"/>
      <c r="AF47" s="91"/>
      <c r="AG47" s="91"/>
      <c r="AH47" s="91"/>
      <c r="AI47" s="91"/>
      <c r="AJ47" s="91"/>
      <c r="AK47" s="91"/>
      <c r="AL47" s="91"/>
    </row>
    <row r="48" spans="2:38" ht="16.5" customHeight="1">
      <c r="B48" s="646" t="s">
        <v>1203</v>
      </c>
      <c r="C48" s="647"/>
      <c r="D48" s="648"/>
      <c r="E48" s="72">
        <v>0</v>
      </c>
      <c r="F48" s="72">
        <v>0</v>
      </c>
      <c r="G48" s="72">
        <v>0</v>
      </c>
      <c r="H48" s="81">
        <v>0</v>
      </c>
      <c r="R48" s="91"/>
      <c r="S48" s="91"/>
      <c r="T48" s="100"/>
      <c r="U48" s="91"/>
      <c r="V48" s="91"/>
      <c r="W48" s="91"/>
      <c r="X48" s="102"/>
      <c r="Y48" s="91"/>
      <c r="Z48" s="91"/>
      <c r="AA48" s="91"/>
      <c r="AB48" s="91"/>
      <c r="AC48" s="91"/>
      <c r="AD48" s="91"/>
      <c r="AE48" s="91"/>
      <c r="AF48" s="91"/>
      <c r="AG48" s="91"/>
      <c r="AH48" s="91"/>
      <c r="AI48" s="91"/>
      <c r="AJ48" s="91"/>
      <c r="AK48" s="91"/>
      <c r="AL48" s="91"/>
    </row>
    <row r="49" spans="2:38" ht="16.5" customHeight="1">
      <c r="B49" s="646" t="s">
        <v>1213</v>
      </c>
      <c r="C49" s="647"/>
      <c r="D49" s="648"/>
      <c r="E49" s="72">
        <v>0</v>
      </c>
      <c r="F49" s="72">
        <v>0</v>
      </c>
      <c r="G49" s="72">
        <v>0</v>
      </c>
      <c r="H49" s="81">
        <v>0</v>
      </c>
      <c r="R49" s="91"/>
      <c r="S49" s="91"/>
      <c r="T49" s="100"/>
      <c r="U49" s="91"/>
      <c r="V49" s="91"/>
      <c r="W49" s="91"/>
      <c r="X49" s="102"/>
      <c r="Y49" s="91"/>
      <c r="Z49" s="91"/>
      <c r="AA49" s="91"/>
      <c r="AB49" s="91"/>
      <c r="AC49" s="91"/>
      <c r="AD49" s="91"/>
      <c r="AE49" s="91"/>
      <c r="AF49" s="91"/>
      <c r="AG49" s="91"/>
      <c r="AH49" s="91"/>
      <c r="AI49" s="91"/>
      <c r="AJ49" s="91"/>
      <c r="AK49" s="91"/>
      <c r="AL49" s="91"/>
    </row>
    <row r="50" spans="2:38" ht="12.75" customHeight="1" thickBot="1">
      <c r="B50" s="646"/>
      <c r="C50" s="647"/>
      <c r="D50" s="647"/>
      <c r="E50" s="62"/>
      <c r="F50" s="62"/>
      <c r="G50" s="62"/>
      <c r="H50" s="83"/>
      <c r="R50" s="91"/>
      <c r="S50" s="91"/>
      <c r="T50" s="100"/>
      <c r="U50" s="91"/>
      <c r="V50" s="91"/>
      <c r="W50" s="91"/>
      <c r="X50" s="102"/>
      <c r="Y50" s="91"/>
      <c r="Z50" s="91"/>
      <c r="AA50" s="91"/>
      <c r="AB50" s="91"/>
      <c r="AC50" s="91"/>
      <c r="AD50" s="91"/>
      <c r="AE50" s="91"/>
      <c r="AF50" s="91"/>
      <c r="AG50" s="91"/>
      <c r="AH50" s="91"/>
      <c r="AI50" s="91"/>
      <c r="AJ50" s="91"/>
      <c r="AK50" s="91"/>
      <c r="AL50" s="91"/>
    </row>
    <row r="51" spans="2:38" ht="18" customHeight="1" thickBot="1">
      <c r="B51" s="644" t="s">
        <v>1216</v>
      </c>
      <c r="C51" s="645"/>
      <c r="D51" s="645"/>
      <c r="E51" s="76">
        <f>SUM(E47:E49)</f>
        <v>0</v>
      </c>
      <c r="F51" s="76">
        <f>SUM(F47:F49)</f>
        <v>0</v>
      </c>
      <c r="G51" s="76">
        <f>SUM(G47:G49)</f>
        <v>0</v>
      </c>
      <c r="H51" s="164">
        <f>SUM(H47:H49)</f>
        <v>0</v>
      </c>
      <c r="R51" s="91"/>
      <c r="S51" s="91"/>
      <c r="T51" s="100"/>
      <c r="U51" s="91"/>
      <c r="V51" s="91"/>
      <c r="W51" s="91"/>
      <c r="X51" s="102"/>
      <c r="Y51" s="91"/>
      <c r="Z51" s="91"/>
      <c r="AA51" s="91"/>
      <c r="AB51" s="91"/>
      <c r="AC51" s="91"/>
      <c r="AD51" s="91"/>
      <c r="AE51" s="91"/>
      <c r="AF51" s="91"/>
      <c r="AG51" s="91"/>
      <c r="AH51" s="91"/>
      <c r="AI51" s="91"/>
      <c r="AJ51" s="91"/>
      <c r="AK51" s="91"/>
      <c r="AL51" s="91"/>
    </row>
    <row r="52" spans="1:38" ht="12" customHeight="1" hidden="1">
      <c r="A52" s="108"/>
      <c r="B52" s="109" t="s">
        <v>197</v>
      </c>
      <c r="C52" s="110"/>
      <c r="D52" s="110"/>
      <c r="E52" s="168"/>
      <c r="F52" s="168"/>
      <c r="G52" s="168"/>
      <c r="H52" s="168"/>
      <c r="I52" s="91"/>
      <c r="J52" s="92"/>
      <c r="K52" s="91"/>
      <c r="L52" s="91"/>
      <c r="M52" s="91"/>
      <c r="N52" s="91"/>
      <c r="O52" s="91"/>
      <c r="P52" s="91"/>
      <c r="Q52" s="91"/>
      <c r="R52" s="91"/>
      <c r="S52" s="91"/>
      <c r="T52" s="91"/>
      <c r="U52" s="91"/>
      <c r="V52" s="91"/>
      <c r="W52" s="91"/>
      <c r="X52" s="91"/>
      <c r="Y52" s="91"/>
      <c r="Z52" s="91"/>
      <c r="AA52" s="91"/>
      <c r="AB52" s="91"/>
      <c r="AC52" s="91"/>
      <c r="AD52" s="91"/>
      <c r="AE52" s="91"/>
      <c r="AF52" s="91"/>
      <c r="AG52" s="91"/>
      <c r="AH52" s="91"/>
      <c r="AI52" s="91"/>
      <c r="AJ52" s="91"/>
      <c r="AK52" s="91"/>
      <c r="AL52" s="91"/>
    </row>
    <row r="53" spans="1:38" ht="12" customHeight="1" hidden="1">
      <c r="A53" s="108"/>
      <c r="B53" s="109" t="s">
        <v>196</v>
      </c>
      <c r="C53" s="110"/>
      <c r="D53" s="110"/>
      <c r="E53" s="111"/>
      <c r="F53" s="111"/>
      <c r="G53" s="111"/>
      <c r="H53" s="111"/>
      <c r="I53" s="91"/>
      <c r="J53" s="92"/>
      <c r="K53" s="91"/>
      <c r="L53" s="91"/>
      <c r="M53" s="91"/>
      <c r="N53" s="91"/>
      <c r="O53" s="91"/>
      <c r="P53" s="91"/>
      <c r="Q53" s="91"/>
      <c r="R53" s="91"/>
      <c r="S53" s="91"/>
      <c r="T53" s="91"/>
      <c r="U53" s="91"/>
      <c r="V53" s="91"/>
      <c r="W53" s="91"/>
      <c r="X53" s="91"/>
      <c r="Y53" s="91"/>
      <c r="Z53" s="91"/>
      <c r="AA53" s="91"/>
      <c r="AB53" s="91"/>
      <c r="AC53" s="91"/>
      <c r="AD53" s="91"/>
      <c r="AE53" s="91"/>
      <c r="AF53" s="91"/>
      <c r="AG53" s="91"/>
      <c r="AH53" s="91"/>
      <c r="AI53" s="91"/>
      <c r="AJ53" s="91"/>
      <c r="AK53" s="91"/>
      <c r="AL53" s="91"/>
    </row>
    <row r="54" spans="1:38" ht="12" customHeight="1" hidden="1">
      <c r="A54" s="108"/>
      <c r="B54" s="109" t="s">
        <v>227</v>
      </c>
      <c r="C54" s="110"/>
      <c r="D54" s="110"/>
      <c r="E54" s="111"/>
      <c r="F54" s="111"/>
      <c r="G54" s="111"/>
      <c r="H54" s="111"/>
      <c r="I54" s="91"/>
      <c r="J54" s="92"/>
      <c r="K54" s="91"/>
      <c r="L54" s="91"/>
      <c r="M54" s="91"/>
      <c r="N54" s="91"/>
      <c r="O54" s="91"/>
      <c r="P54" s="91"/>
      <c r="Q54" s="91"/>
      <c r="R54" s="91"/>
      <c r="S54" s="91"/>
      <c r="T54" s="91"/>
      <c r="U54" s="91"/>
      <c r="V54" s="91"/>
      <c r="W54" s="91"/>
      <c r="X54" s="91"/>
      <c r="Y54" s="91"/>
      <c r="Z54" s="91"/>
      <c r="AA54" s="91"/>
      <c r="AB54" s="91"/>
      <c r="AC54" s="91"/>
      <c r="AD54" s="91"/>
      <c r="AE54" s="91"/>
      <c r="AF54" s="91"/>
      <c r="AG54" s="91"/>
      <c r="AH54" s="91"/>
      <c r="AI54" s="91"/>
      <c r="AJ54" s="91"/>
      <c r="AK54" s="91"/>
      <c r="AL54" s="91"/>
    </row>
    <row r="55" spans="1:38" ht="12" customHeight="1" hidden="1" thickBot="1">
      <c r="A55" s="108"/>
      <c r="B55" s="112" t="s">
        <v>228</v>
      </c>
      <c r="C55" s="113"/>
      <c r="D55" s="113"/>
      <c r="E55" s="114">
        <f>SUM(E52:E54)</f>
        <v>0</v>
      </c>
      <c r="F55" s="114"/>
      <c r="G55" s="114"/>
      <c r="H55" s="114"/>
      <c r="I55" s="91"/>
      <c r="J55" s="92"/>
      <c r="K55" s="91"/>
      <c r="L55" s="91"/>
      <c r="M55" s="91"/>
      <c r="N55" s="91"/>
      <c r="O55" s="91"/>
      <c r="P55" s="91"/>
      <c r="Q55" s="91"/>
      <c r="R55" s="91"/>
      <c r="S55" s="91"/>
      <c r="T55" s="91"/>
      <c r="U55" s="91"/>
      <c r="V55" s="91"/>
      <c r="W55" s="91"/>
      <c r="X55" s="91"/>
      <c r="Y55" s="91"/>
      <c r="Z55" s="91"/>
      <c r="AA55" s="91"/>
      <c r="AB55" s="91"/>
      <c r="AC55" s="91"/>
      <c r="AD55" s="91"/>
      <c r="AE55" s="91"/>
      <c r="AF55" s="91"/>
      <c r="AG55" s="91"/>
      <c r="AH55" s="91"/>
      <c r="AI55" s="91"/>
      <c r="AJ55" s="91"/>
      <c r="AK55" s="91"/>
      <c r="AL55" s="91"/>
    </row>
    <row r="56" spans="1:38" ht="12" customHeight="1" hidden="1">
      <c r="A56" s="108"/>
      <c r="B56" s="108"/>
      <c r="C56" s="108"/>
      <c r="D56" s="108"/>
      <c r="E56" s="108"/>
      <c r="F56" s="108"/>
      <c r="G56" s="108"/>
      <c r="H56" s="108"/>
      <c r="L56" s="91"/>
      <c r="M56" s="91"/>
      <c r="N56" s="91"/>
      <c r="O56" s="91"/>
      <c r="P56" s="91"/>
      <c r="Q56" s="91"/>
      <c r="R56" s="91"/>
      <c r="S56" s="91"/>
      <c r="T56" s="91"/>
      <c r="U56" s="91"/>
      <c r="V56" s="91"/>
      <c r="W56" s="91"/>
      <c r="X56" s="91"/>
      <c r="Y56" s="91"/>
      <c r="Z56" s="91"/>
      <c r="AA56" s="91"/>
      <c r="AB56" s="91"/>
      <c r="AC56" s="91"/>
      <c r="AD56" s="91"/>
      <c r="AE56" s="91"/>
      <c r="AF56" s="91"/>
      <c r="AG56" s="91"/>
      <c r="AH56" s="91"/>
      <c r="AI56" s="91"/>
      <c r="AJ56" s="91"/>
      <c r="AK56" s="91"/>
      <c r="AL56" s="91"/>
    </row>
    <row r="57" spans="1:38" ht="12" customHeight="1" hidden="1">
      <c r="A57" s="108"/>
      <c r="B57" s="115" t="s">
        <v>270</v>
      </c>
      <c r="C57" s="115"/>
      <c r="D57" s="108"/>
      <c r="E57" s="108"/>
      <c r="F57" s="108"/>
      <c r="G57" s="108"/>
      <c r="H57" s="108"/>
      <c r="L57" s="91"/>
      <c r="M57" s="91"/>
      <c r="N57" s="91"/>
      <c r="O57" s="91"/>
      <c r="P57" s="91"/>
      <c r="Q57" s="91"/>
      <c r="R57" s="91"/>
      <c r="S57" s="91"/>
      <c r="T57" s="91"/>
      <c r="U57" s="91"/>
      <c r="V57" s="91"/>
      <c r="W57" s="91"/>
      <c r="X57" s="91"/>
      <c r="Y57" s="91"/>
      <c r="Z57" s="91"/>
      <c r="AA57" s="91"/>
      <c r="AB57" s="91"/>
      <c r="AC57" s="91"/>
      <c r="AD57" s="91"/>
      <c r="AE57" s="91"/>
      <c r="AF57" s="91"/>
      <c r="AG57" s="91"/>
      <c r="AH57" s="91"/>
      <c r="AI57" s="91"/>
      <c r="AJ57" s="91"/>
      <c r="AK57" s="91"/>
      <c r="AL57" s="91"/>
    </row>
    <row r="58" spans="1:38" ht="12" customHeight="1" hidden="1">
      <c r="A58" s="108"/>
      <c r="B58" s="116"/>
      <c r="C58" s="116"/>
      <c r="D58" s="108"/>
      <c r="E58" s="108"/>
      <c r="F58" s="108"/>
      <c r="G58" s="108"/>
      <c r="H58" s="108"/>
      <c r="L58" s="91"/>
      <c r="M58" s="91"/>
      <c r="N58" s="91"/>
      <c r="O58" s="91"/>
      <c r="P58" s="91"/>
      <c r="Q58" s="91"/>
      <c r="R58" s="91"/>
      <c r="S58" s="91"/>
      <c r="T58" s="91"/>
      <c r="U58" s="91"/>
      <c r="V58" s="91"/>
      <c r="W58" s="91"/>
      <c r="X58" s="91"/>
      <c r="Y58" s="91"/>
      <c r="Z58" s="91"/>
      <c r="AA58" s="91"/>
      <c r="AB58" s="91"/>
      <c r="AC58" s="91"/>
      <c r="AD58" s="91"/>
      <c r="AE58" s="91"/>
      <c r="AF58" s="91"/>
      <c r="AG58" s="91"/>
      <c r="AH58" s="91"/>
      <c r="AI58" s="91"/>
      <c r="AJ58" s="91"/>
      <c r="AK58" s="91"/>
      <c r="AL58" s="91"/>
    </row>
    <row r="59" spans="1:38" ht="12" customHeight="1">
      <c r="A59" s="108"/>
      <c r="B59" s="630"/>
      <c r="C59" s="630"/>
      <c r="D59" s="630"/>
      <c r="E59" s="631"/>
      <c r="F59" s="631"/>
      <c r="G59" s="631"/>
      <c r="H59" s="631"/>
      <c r="I59" s="631"/>
      <c r="J59" s="631"/>
      <c r="L59" s="91"/>
      <c r="M59" s="91"/>
      <c r="N59" s="91"/>
      <c r="O59" s="91"/>
      <c r="P59" s="91"/>
      <c r="Q59" s="91"/>
      <c r="R59" s="91"/>
      <c r="S59" s="91"/>
      <c r="T59" s="91"/>
      <c r="U59" s="91"/>
      <c r="V59" s="91"/>
      <c r="W59" s="91"/>
      <c r="X59" s="91"/>
      <c r="Y59" s="91"/>
      <c r="Z59" s="91"/>
      <c r="AA59" s="91"/>
      <c r="AB59" s="91"/>
      <c r="AC59" s="91"/>
      <c r="AD59" s="91"/>
      <c r="AE59" s="91"/>
      <c r="AF59" s="91"/>
      <c r="AG59" s="91"/>
      <c r="AH59" s="91"/>
      <c r="AI59" s="91"/>
      <c r="AJ59" s="91"/>
      <c r="AK59" s="91"/>
      <c r="AL59" s="91"/>
    </row>
    <row r="60" spans="12:38" ht="12" customHeight="1">
      <c r="L60" s="91"/>
      <c r="M60" s="91"/>
      <c r="N60" s="91"/>
      <c r="O60" s="91"/>
      <c r="P60" s="91"/>
      <c r="Q60" s="91"/>
      <c r="R60" s="91"/>
      <c r="S60" s="91"/>
      <c r="T60" s="91"/>
      <c r="U60" s="91"/>
      <c r="V60" s="91"/>
      <c r="W60" s="91"/>
      <c r="X60" s="91"/>
      <c r="Y60" s="91"/>
      <c r="Z60" s="91"/>
      <c r="AA60" s="91"/>
      <c r="AB60" s="91"/>
      <c r="AC60" s="91"/>
      <c r="AD60" s="91"/>
      <c r="AE60" s="91"/>
      <c r="AF60" s="91"/>
      <c r="AG60" s="91"/>
      <c r="AH60" s="91"/>
      <c r="AI60" s="91"/>
      <c r="AJ60" s="91"/>
      <c r="AK60" s="91"/>
      <c r="AL60" s="91"/>
    </row>
    <row r="61" spans="12:38" ht="12" customHeight="1">
      <c r="L61" s="91"/>
      <c r="M61" s="91"/>
      <c r="N61" s="91"/>
      <c r="O61" s="91"/>
      <c r="P61" s="91"/>
      <c r="Q61" s="91"/>
      <c r="R61" s="91"/>
      <c r="S61" s="91"/>
      <c r="T61" s="91"/>
      <c r="U61" s="91"/>
      <c r="V61" s="91"/>
      <c r="W61" s="91"/>
      <c r="X61" s="91"/>
      <c r="Y61" s="91"/>
      <c r="Z61" s="91"/>
      <c r="AA61" s="91"/>
      <c r="AB61" s="91"/>
      <c r="AC61" s="91"/>
      <c r="AD61" s="91"/>
      <c r="AE61" s="91"/>
      <c r="AF61" s="91"/>
      <c r="AG61" s="91"/>
      <c r="AH61" s="91"/>
      <c r="AI61" s="91"/>
      <c r="AJ61" s="91"/>
      <c r="AK61" s="91"/>
      <c r="AL61" s="91"/>
    </row>
  </sheetData>
  <sheetProtection password="DEF0" sheet="1" objects="1" scenarios="1"/>
  <mergeCells count="45">
    <mergeCell ref="B42:D42"/>
    <mergeCell ref="B35:D35"/>
    <mergeCell ref="B36:D36"/>
    <mergeCell ref="B37:D37"/>
    <mergeCell ref="B32:D32"/>
    <mergeCell ref="B33:D33"/>
    <mergeCell ref="B34:D34"/>
    <mergeCell ref="B41:D41"/>
    <mergeCell ref="B22:D22"/>
    <mergeCell ref="B23:D23"/>
    <mergeCell ref="B19:D19"/>
    <mergeCell ref="B20:D20"/>
    <mergeCell ref="D2:E2"/>
    <mergeCell ref="B9:D9"/>
    <mergeCell ref="B10:D10"/>
    <mergeCell ref="B14:D14"/>
    <mergeCell ref="B8:D8"/>
    <mergeCell ref="B13:D13"/>
    <mergeCell ref="B24:D24"/>
    <mergeCell ref="B11:D11"/>
    <mergeCell ref="B25:D25"/>
    <mergeCell ref="B4:H4"/>
    <mergeCell ref="B6:D6"/>
    <mergeCell ref="B15:D15"/>
    <mergeCell ref="B16:D16"/>
    <mergeCell ref="B21:D21"/>
    <mergeCell ref="B17:D17"/>
    <mergeCell ref="B18:D18"/>
    <mergeCell ref="B59:J59"/>
    <mergeCell ref="B43:D43"/>
    <mergeCell ref="B45:D45"/>
    <mergeCell ref="B46:D46"/>
    <mergeCell ref="B50:D50"/>
    <mergeCell ref="B49:D49"/>
    <mergeCell ref="B48:D48"/>
    <mergeCell ref="B26:D26"/>
    <mergeCell ref="B51:D51"/>
    <mergeCell ref="B30:D30"/>
    <mergeCell ref="B28:D28"/>
    <mergeCell ref="B47:D47"/>
    <mergeCell ref="B29:D29"/>
    <mergeCell ref="B38:D38"/>
    <mergeCell ref="B40:D40"/>
    <mergeCell ref="B39:D39"/>
    <mergeCell ref="B31:D31"/>
  </mergeCells>
  <printOptions horizontalCentered="1"/>
  <pageMargins left="0.7874015748031497" right="0.5118110236220472" top="0.5511811023622047" bottom="0.3937007874015748" header="0" footer="0"/>
  <pageSetup horizontalDpi="180" verticalDpi="180" orientation="landscape" paperSize="9" scale="65" r:id="rId2"/>
  <headerFooter alignWithMargins="0">
    <oddHeader>&amp;C&amp;8
    &amp;R
</oddHead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T.C.E.S.P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Planae2007</dc:title>
  <dc:subject>Planilhas do Ensino - T.C.E.S.P</dc:subject>
  <dc:creator>Márcia Sampei</dc:creator>
  <cp:keywords/>
  <dc:description>Informações declaradas trimestralmente pelas Prefeituras Municipais, de inteira responsabilidade do Chefe do Poder Executivo.</dc:description>
  <cp:lastModifiedBy>User</cp:lastModifiedBy>
  <cp:lastPrinted>2010-01-13T18:54:40Z</cp:lastPrinted>
  <dcterms:created xsi:type="dcterms:W3CDTF">1998-07-09T01:24:03Z</dcterms:created>
  <dcterms:modified xsi:type="dcterms:W3CDTF">2010-01-13T18:54:57Z</dcterms:modified>
  <cp:category/>
  <cp:version/>
  <cp:contentType/>
  <cp:contentStatus/>
</cp:coreProperties>
</file>